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noisy\Dropbox\野池専用\計算プログラム\住宅部門2050エネルギーシミュレーション\"/>
    </mc:Choice>
  </mc:AlternateContent>
  <xr:revisionPtr revIDLastSave="0" documentId="13_ncr:1_{981FB477-7A3C-4259-8207-8AECF9A45BD8}" xr6:coauthVersionLast="47" xr6:coauthVersionMax="47" xr10:uidLastSave="{00000000-0000-0000-0000-000000000000}"/>
  <bookViews>
    <workbookView xWindow="-110" yWindow="-110" windowWidth="19420" windowHeight="10560" tabRatio="884" xr2:uid="{EEFDDC9B-DE70-4CDF-98A1-8D50B48D6119}"/>
  </bookViews>
  <sheets>
    <sheet name="解説等" sheetId="40" r:id="rId1"/>
    <sheet name="補足解説" sheetId="44" r:id="rId2"/>
    <sheet name="戸建ての計算" sheetId="29" r:id="rId3"/>
    <sheet name="想定別一次エネ消費量" sheetId="37" r:id="rId4"/>
    <sheet name="共同住宅の計算" sheetId="36" r:id="rId5"/>
    <sheet name="太陽光発電の計算" sheetId="38" r:id="rId6"/>
    <sheet name="総合結果表示（省エネ量）" sheetId="39" r:id="rId7"/>
    <sheet name="2050年カーボンニュートラル検討" sheetId="43" r:id="rId8"/>
    <sheet name="SIM用基本データ" sheetId="30" state="hidden" r:id="rId9"/>
    <sheet name="2021年ストックモデル" sheetId="41" state="hidden" r:id="rId10"/>
    <sheet name="基本データ" sheetId="1" r:id="rId11"/>
    <sheet name="解説のためのメモ" sheetId="42" state="hidden" r:id="rId12"/>
    <sheet name="戸あたり一次エネ分析" sheetId="34" state="hidden" r:id="rId13"/>
    <sheet name="2013年実績の確認" sheetId="35" state="hidden" r:id="rId14"/>
  </sheets>
  <definedNames>
    <definedName name="_xlnm.Print_Area" localSheetId="6">'総合結果表示（省エネ量）'!$A$1:$M$36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138" i="30" l="1"/>
  <c r="P91" i="30"/>
  <c r="P92" i="30"/>
  <c r="P93" i="30"/>
  <c r="P94" i="30" s="1"/>
  <c r="P95" i="30" s="1"/>
  <c r="P96" i="30" s="1"/>
  <c r="P97" i="30" s="1"/>
  <c r="P98" i="30" s="1"/>
  <c r="P99" i="30" s="1"/>
  <c r="P100" i="30" s="1"/>
  <c r="P101" i="30" s="1"/>
  <c r="P102" i="30" s="1"/>
  <c r="P103" i="30" s="1"/>
  <c r="P104" i="30" s="1"/>
  <c r="P105" i="30" s="1"/>
  <c r="P106" i="30" s="1"/>
  <c r="P107" i="30" s="1"/>
  <c r="P108" i="30" s="1"/>
  <c r="P109" i="30" s="1"/>
  <c r="P110" i="30" s="1"/>
  <c r="P111" i="30" s="1"/>
  <c r="P112" i="30" s="1"/>
  <c r="P113" i="30" s="1"/>
  <c r="P114" i="30" s="1"/>
  <c r="P115" i="30" s="1"/>
  <c r="P116" i="30" s="1"/>
  <c r="P117" i="30" s="1"/>
  <c r="P118" i="30" s="1"/>
  <c r="P119" i="30" s="1"/>
  <c r="P120" i="30" s="1"/>
  <c r="P121" i="30" s="1"/>
  <c r="P122" i="30" s="1"/>
  <c r="P123" i="30" s="1"/>
  <c r="P124" i="30" s="1"/>
  <c r="P125" i="30" s="1"/>
  <c r="P126" i="30" s="1"/>
  <c r="P127" i="30" s="1"/>
  <c r="P128" i="30" s="1"/>
  <c r="P129" i="30" s="1"/>
  <c r="P130" i="30" s="1"/>
  <c r="P131" i="30" s="1"/>
  <c r="P132" i="30" s="1"/>
  <c r="P133" i="30" s="1"/>
  <c r="P134" i="30" s="1"/>
  <c r="P135" i="30" s="1"/>
  <c r="P136" i="30" s="1"/>
  <c r="P137" i="30" s="1"/>
  <c r="P90" i="30"/>
  <c r="R90" i="30"/>
  <c r="R91" i="30"/>
  <c r="R92" i="30"/>
  <c r="R93" i="30"/>
  <c r="R94" i="30"/>
  <c r="R95" i="30"/>
  <c r="R96" i="30"/>
  <c r="R97" i="30"/>
  <c r="R98" i="30"/>
  <c r="R99" i="30"/>
  <c r="R100" i="30"/>
  <c r="R101" i="30"/>
  <c r="R102" i="30"/>
  <c r="R103" i="30"/>
  <c r="R104" i="30"/>
  <c r="R105" i="30"/>
  <c r="R106" i="30"/>
  <c r="R107" i="30"/>
  <c r="R108" i="30"/>
  <c r="R109" i="30"/>
  <c r="R110" i="30"/>
  <c r="R111" i="30"/>
  <c r="R112" i="30"/>
  <c r="R113" i="30"/>
  <c r="R114" i="30"/>
  <c r="R115" i="30"/>
  <c r="R116" i="30"/>
  <c r="R117" i="30"/>
  <c r="R118" i="30"/>
  <c r="R119" i="30"/>
  <c r="R120" i="30"/>
  <c r="R121" i="30"/>
  <c r="R122" i="30"/>
  <c r="R123" i="30"/>
  <c r="R124" i="30"/>
  <c r="R125" i="30"/>
  <c r="R126" i="30"/>
  <c r="R127" i="30"/>
  <c r="R128" i="30"/>
  <c r="R129" i="30"/>
  <c r="R130" i="30"/>
  <c r="R131" i="30"/>
  <c r="R132" i="30"/>
  <c r="R133" i="30"/>
  <c r="R134" i="30"/>
  <c r="R135" i="30"/>
  <c r="R136" i="30"/>
  <c r="R137" i="30"/>
  <c r="R138" i="30"/>
  <c r="R89" i="30"/>
  <c r="K47" i="37"/>
  <c r="K46" i="37"/>
  <c r="K43" i="37"/>
  <c r="K41" i="37"/>
  <c r="K39" i="37"/>
  <c r="K37" i="37"/>
  <c r="K36" i="37"/>
  <c r="K33" i="37"/>
  <c r="K31" i="37"/>
  <c r="K29" i="37"/>
  <c r="K27" i="37"/>
  <c r="K26" i="37"/>
  <c r="K23" i="37"/>
  <c r="K21" i="37"/>
  <c r="K19" i="37"/>
  <c r="K17" i="37"/>
  <c r="K16" i="37"/>
  <c r="K13" i="37"/>
  <c r="K11" i="37"/>
  <c r="K9" i="37"/>
  <c r="K17" i="36"/>
  <c r="K15" i="36"/>
  <c r="O82" i="36"/>
  <c r="N82" i="36"/>
  <c r="M82" i="36"/>
  <c r="L82" i="36"/>
  <c r="K82" i="36"/>
  <c r="J82" i="36"/>
  <c r="I82" i="36"/>
  <c r="H82" i="36"/>
  <c r="G82" i="36"/>
  <c r="F82" i="36"/>
  <c r="E82" i="36"/>
  <c r="F81" i="36"/>
  <c r="G81" i="36"/>
  <c r="H81" i="36"/>
  <c r="I81" i="36"/>
  <c r="J81" i="36"/>
  <c r="K81" i="36"/>
  <c r="L81" i="36"/>
  <c r="M81" i="36"/>
  <c r="N81" i="36"/>
  <c r="O81" i="36"/>
  <c r="P81" i="36"/>
  <c r="Q81" i="36"/>
  <c r="E81" i="36"/>
  <c r="G86" i="36"/>
  <c r="E112" i="38"/>
  <c r="E113" i="38" s="1"/>
  <c r="E108" i="38"/>
  <c r="E106" i="38"/>
  <c r="E114" i="38" l="1"/>
  <c r="G87" i="36" l="1"/>
  <c r="P205" i="36"/>
  <c r="O205" i="36"/>
  <c r="P194" i="36"/>
  <c r="Q82" i="36" s="1"/>
  <c r="O194" i="36"/>
  <c r="P82" i="36" s="1"/>
  <c r="O197" i="36"/>
  <c r="O202" i="36" s="1"/>
  <c r="O204" i="36" s="1"/>
  <c r="P197" i="36"/>
  <c r="P202" i="36" s="1"/>
  <c r="P204" i="36" s="1"/>
  <c r="D73" i="36"/>
  <c r="G185" i="36"/>
  <c r="E182" i="36"/>
  <c r="F182" i="36"/>
  <c r="G182" i="36"/>
  <c r="H182" i="36"/>
  <c r="I182" i="36"/>
  <c r="J182" i="36"/>
  <c r="K182" i="36"/>
  <c r="L182" i="36"/>
  <c r="M182" i="36"/>
  <c r="N182" i="36"/>
  <c r="D178" i="36"/>
  <c r="O177" i="36"/>
  <c r="F60" i="36"/>
  <c r="F86" i="36" s="1"/>
  <c r="F102" i="29"/>
  <c r="F146" i="29" s="1"/>
  <c r="L173" i="30"/>
  <c r="K173" i="30"/>
  <c r="J173" i="30"/>
  <c r="G171" i="30"/>
  <c r="G173" i="30" s="1"/>
  <c r="H171" i="30"/>
  <c r="H173" i="30" s="1"/>
  <c r="I171" i="30"/>
  <c r="I173" i="30" s="1"/>
  <c r="J171" i="30"/>
  <c r="K171" i="30"/>
  <c r="L171" i="30"/>
  <c r="M171" i="30"/>
  <c r="M173" i="30" s="1"/>
  <c r="N171" i="30"/>
  <c r="N173" i="30" s="1"/>
  <c r="O171" i="30"/>
  <c r="O173" i="30" s="1"/>
  <c r="P171" i="30"/>
  <c r="P173" i="30" s="1"/>
  <c r="F171" i="30"/>
  <c r="F173" i="30" s="1"/>
  <c r="Q173" i="30" s="1"/>
  <c r="L170" i="30"/>
  <c r="M170" i="30"/>
  <c r="N170" i="30"/>
  <c r="G168" i="30"/>
  <c r="G170" i="30" s="1"/>
  <c r="H168" i="30"/>
  <c r="H170" i="30" s="1"/>
  <c r="I168" i="30"/>
  <c r="I170" i="30" s="1"/>
  <c r="J168" i="30"/>
  <c r="J170" i="30" s="1"/>
  <c r="K168" i="30"/>
  <c r="K170" i="30" s="1"/>
  <c r="L168" i="30"/>
  <c r="M168" i="30"/>
  <c r="N168" i="30"/>
  <c r="O168" i="30"/>
  <c r="O170" i="30" s="1"/>
  <c r="P168" i="30"/>
  <c r="P170" i="30" s="1"/>
  <c r="F168" i="30"/>
  <c r="F170" i="30" s="1"/>
  <c r="Q170" i="30" s="1"/>
  <c r="I254" i="29"/>
  <c r="E216" i="29"/>
  <c r="H216" i="29" s="1"/>
  <c r="H217" i="29" s="1"/>
  <c r="F142" i="29"/>
  <c r="G142" i="29"/>
  <c r="H142" i="29"/>
  <c r="I142" i="29"/>
  <c r="J142" i="29"/>
  <c r="K142" i="29"/>
  <c r="L142" i="29"/>
  <c r="M142" i="29"/>
  <c r="N142" i="29"/>
  <c r="O142" i="29"/>
  <c r="E142" i="29"/>
  <c r="E312" i="29"/>
  <c r="E313" i="29" s="1"/>
  <c r="F144" i="29" s="1"/>
  <c r="F312" i="29"/>
  <c r="F313" i="29" s="1"/>
  <c r="G144" i="29" s="1"/>
  <c r="D312" i="29"/>
  <c r="D313" i="29" s="1"/>
  <c r="E144" i="29" s="1"/>
  <c r="R310" i="29"/>
  <c r="R312" i="29" s="1"/>
  <c r="L68" i="29"/>
  <c r="S306" i="29"/>
  <c r="T306" i="29"/>
  <c r="R306" i="29"/>
  <c r="R302" i="29"/>
  <c r="R305" i="29" s="1"/>
  <c r="S302" i="29"/>
  <c r="S305" i="29" s="1"/>
  <c r="T302" i="29"/>
  <c r="T305" i="29" s="1"/>
  <c r="S296" i="29"/>
  <c r="S142" i="29" s="1"/>
  <c r="T296" i="29"/>
  <c r="T142" i="29" s="1"/>
  <c r="R296" i="29"/>
  <c r="Q73" i="30"/>
  <c r="Q64" i="30"/>
  <c r="D283" i="29" s="1"/>
  <c r="D285" i="29" s="1"/>
  <c r="E278" i="29"/>
  <c r="E279" i="29" s="1"/>
  <c r="E280" i="29" s="1"/>
  <c r="I281" i="29" s="1"/>
  <c r="D303" i="29" s="1"/>
  <c r="E105" i="38" s="1"/>
  <c r="E107" i="38" s="1"/>
  <c r="E109" i="38" s="1"/>
  <c r="I282" i="29" l="1"/>
  <c r="D198" i="36" s="1"/>
  <c r="O206" i="36" s="1"/>
  <c r="O207" i="36" s="1"/>
  <c r="D179" i="36"/>
  <c r="G216" i="29"/>
  <c r="G217" i="29" s="1"/>
  <c r="F216" i="29"/>
  <c r="F217" i="29" s="1"/>
  <c r="J217" i="29"/>
  <c r="R307" i="29"/>
  <c r="R308" i="29" s="1"/>
  <c r="E143" i="29"/>
  <c r="F143" i="29"/>
  <c r="G143" i="29"/>
  <c r="R313" i="29"/>
  <c r="S307" i="29"/>
  <c r="S308" i="29" s="1"/>
  <c r="S309" i="29" s="1"/>
  <c r="S310" i="29" s="1"/>
  <c r="S312" i="29" s="1"/>
  <c r="T307" i="29"/>
  <c r="T308" i="29" s="1"/>
  <c r="T309" i="29" s="1"/>
  <c r="T310" i="29" s="1"/>
  <c r="T312" i="29" s="1"/>
  <c r="E304" i="29"/>
  <c r="D287" i="29"/>
  <c r="O208" i="36" l="1"/>
  <c r="P84" i="36" s="1"/>
  <c r="P83" i="36"/>
  <c r="P206" i="36"/>
  <c r="P207" i="36" s="1"/>
  <c r="T313" i="29"/>
  <c r="T144" i="29" s="1"/>
  <c r="T143" i="29"/>
  <c r="S313" i="29"/>
  <c r="S144" i="29" s="1"/>
  <c r="S143" i="29"/>
  <c r="D288" i="29"/>
  <c r="D196" i="36" s="1"/>
  <c r="D298" i="29"/>
  <c r="P208" i="36" l="1"/>
  <c r="Q84" i="36" s="1"/>
  <c r="Q83" i="36"/>
  <c r="E129" i="29"/>
  <c r="J268" i="29"/>
  <c r="K268" i="29" s="1"/>
  <c r="F271" i="29"/>
  <c r="E271" i="29"/>
  <c r="F266" i="29"/>
  <c r="F267" i="29" s="1"/>
  <c r="E266" i="29"/>
  <c r="E267" i="29" s="1"/>
  <c r="I264" i="29"/>
  <c r="I265" i="29" s="1"/>
  <c r="H264" i="29"/>
  <c r="H265" i="29" s="1"/>
  <c r="F264" i="29"/>
  <c r="F265" i="29" s="1"/>
  <c r="E264" i="29"/>
  <c r="E265" i="29" s="1"/>
  <c r="D264" i="29"/>
  <c r="D265" i="29" s="1"/>
  <c r="M156" i="29"/>
  <c r="H52" i="29"/>
  <c r="H53" i="29"/>
  <c r="H51" i="29"/>
  <c r="S89" i="30"/>
  <c r="T129" i="30"/>
  <c r="T130" i="30"/>
  <c r="T131" i="30"/>
  <c r="T132" i="30"/>
  <c r="T133" i="30"/>
  <c r="T134" i="30"/>
  <c r="T135" i="30"/>
  <c r="T136" i="30"/>
  <c r="T137" i="30"/>
  <c r="T138" i="30"/>
  <c r="S129" i="30"/>
  <c r="V129" i="30" s="1"/>
  <c r="U130" i="30"/>
  <c r="U131" i="30"/>
  <c r="U132" i="30"/>
  <c r="U133" i="30"/>
  <c r="U134" i="30"/>
  <c r="U135" i="30"/>
  <c r="U137" i="30"/>
  <c r="U129" i="30"/>
  <c r="S135" i="30"/>
  <c r="V135" i="30" s="1"/>
  <c r="S133" i="30"/>
  <c r="V133" i="30" s="1"/>
  <c r="S131" i="30"/>
  <c r="V131" i="30" s="1"/>
  <c r="D266" i="29" l="1"/>
  <c r="D267" i="29" s="1"/>
  <c r="H266" i="29"/>
  <c r="I266" i="29"/>
  <c r="D262" i="29"/>
  <c r="L268" i="29" s="1"/>
  <c r="N138" i="30"/>
  <c r="N137" i="30"/>
  <c r="S137" i="30" s="1"/>
  <c r="V137" i="30" s="1"/>
  <c r="N134" i="30"/>
  <c r="N132" i="30"/>
  <c r="N130" i="30"/>
  <c r="S130" i="30" s="1"/>
  <c r="V130" i="30" s="1"/>
  <c r="D270" i="29" l="1"/>
  <c r="D271" i="29" s="1"/>
  <c r="H270" i="29"/>
  <c r="H271" i="29" s="1"/>
  <c r="H267" i="29"/>
  <c r="I267" i="29"/>
  <c r="I270" i="29"/>
  <c r="I271" i="29" s="1"/>
  <c r="S134" i="30"/>
  <c r="V134" i="30" s="1"/>
  <c r="S132" i="30"/>
  <c r="V132" i="30" s="1"/>
  <c r="E25" i="30"/>
  <c r="F98" i="29"/>
  <c r="G98" i="29"/>
  <c r="H98" i="29"/>
  <c r="I98" i="29"/>
  <c r="J98" i="29"/>
  <c r="K98" i="29"/>
  <c r="L98" i="29"/>
  <c r="M98" i="29"/>
  <c r="N98" i="29"/>
  <c r="O98" i="29"/>
  <c r="E98" i="29"/>
  <c r="S91" i="30"/>
  <c r="V91" i="30" s="1"/>
  <c r="S93" i="30"/>
  <c r="V93" i="30" s="1"/>
  <c r="S95" i="30"/>
  <c r="V95" i="30" s="1"/>
  <c r="S99" i="30"/>
  <c r="V99" i="30" s="1"/>
  <c r="S101" i="30"/>
  <c r="V101" i="30" s="1"/>
  <c r="S103" i="30"/>
  <c r="V103" i="30" s="1"/>
  <c r="S105" i="30"/>
  <c r="V105" i="30" s="1"/>
  <c r="S109" i="30"/>
  <c r="V109" i="30" s="1"/>
  <c r="S111" i="30"/>
  <c r="V111" i="30" s="1"/>
  <c r="S113" i="30"/>
  <c r="V113" i="30" s="1"/>
  <c r="S115" i="30"/>
  <c r="V115" i="30" s="1"/>
  <c r="S119" i="30"/>
  <c r="V119" i="30" s="1"/>
  <c r="S121" i="30"/>
  <c r="V121" i="30" s="1"/>
  <c r="S123" i="30"/>
  <c r="V123" i="30" s="1"/>
  <c r="S125" i="30"/>
  <c r="V125" i="30" s="1"/>
  <c r="V89" i="30"/>
  <c r="N128" i="30"/>
  <c r="N127" i="30"/>
  <c r="N124" i="30"/>
  <c r="N122" i="30"/>
  <c r="N120" i="30"/>
  <c r="N118" i="30"/>
  <c r="N117" i="30"/>
  <c r="G264" i="29" s="1"/>
  <c r="N114" i="30"/>
  <c r="N112" i="30"/>
  <c r="N110" i="30"/>
  <c r="N108" i="30"/>
  <c r="N107" i="30"/>
  <c r="N104" i="30"/>
  <c r="N102" i="30"/>
  <c r="N100" i="30"/>
  <c r="N98" i="30"/>
  <c r="N97" i="30"/>
  <c r="N94" i="30"/>
  <c r="N92" i="30"/>
  <c r="N90" i="30"/>
  <c r="G265" i="29" l="1"/>
  <c r="J265" i="29" s="1"/>
  <c r="K265" i="29" s="1"/>
  <c r="L265" i="29" s="1"/>
  <c r="G266" i="29"/>
  <c r="S100" i="30"/>
  <c r="V100" i="30" s="1"/>
  <c r="S117" i="30"/>
  <c r="V117" i="30" s="1"/>
  <c r="S122" i="30"/>
  <c r="V122" i="30" s="1"/>
  <c r="S97" i="30"/>
  <c r="V97" i="30" s="1"/>
  <c r="S112" i="30"/>
  <c r="V112" i="30" s="1"/>
  <c r="S127" i="30"/>
  <c r="V127" i="30" s="1"/>
  <c r="S90" i="30"/>
  <c r="V90" i="30" s="1"/>
  <c r="S107" i="30"/>
  <c r="V107" i="30" s="1"/>
  <c r="S92" i="30"/>
  <c r="V92" i="30" s="1"/>
  <c r="S102" i="30"/>
  <c r="V102" i="30" s="1"/>
  <c r="S124" i="30"/>
  <c r="V124" i="30" s="1"/>
  <c r="S94" i="30"/>
  <c r="V94" i="30" s="1"/>
  <c r="S110" i="30"/>
  <c r="V110" i="30" s="1"/>
  <c r="S104" i="30"/>
  <c r="V104" i="30" s="1"/>
  <c r="S114" i="30"/>
  <c r="V114" i="30" s="1"/>
  <c r="S120" i="30"/>
  <c r="V120" i="30" s="1"/>
  <c r="G270" i="29" l="1"/>
  <c r="G271" i="29" s="1"/>
  <c r="J271" i="29" s="1"/>
  <c r="K271" i="29" s="1"/>
  <c r="L271" i="29" s="1"/>
  <c r="G267" i="29"/>
  <c r="J267" i="29" s="1"/>
  <c r="K267" i="29" s="1"/>
  <c r="L267" i="29" s="1"/>
  <c r="G22" i="39"/>
  <c r="H22" i="39"/>
  <c r="F22" i="39"/>
  <c r="F20" i="39"/>
  <c r="F19" i="39"/>
  <c r="D4" i="39"/>
  <c r="G5" i="39" s="1"/>
  <c r="K10" i="37"/>
  <c r="J10" i="37"/>
  <c r="K45" i="37"/>
  <c r="J45" i="37"/>
  <c r="K44" i="37"/>
  <c r="J44" i="37"/>
  <c r="K42" i="37"/>
  <c r="J42" i="37"/>
  <c r="K40" i="37"/>
  <c r="J40" i="37"/>
  <c r="K38" i="37"/>
  <c r="J38" i="37"/>
  <c r="K35" i="37"/>
  <c r="J35" i="37"/>
  <c r="K34" i="37"/>
  <c r="J34" i="37"/>
  <c r="K32" i="37"/>
  <c r="J32" i="37"/>
  <c r="K30" i="37"/>
  <c r="J30" i="37"/>
  <c r="K28" i="37"/>
  <c r="J28" i="37"/>
  <c r="K25" i="37"/>
  <c r="J25" i="37"/>
  <c r="K24" i="37"/>
  <c r="J24" i="37"/>
  <c r="K22" i="37"/>
  <c r="J22" i="37"/>
  <c r="K20" i="37"/>
  <c r="J20" i="37"/>
  <c r="K18" i="37"/>
  <c r="J18" i="37"/>
  <c r="K15" i="37"/>
  <c r="J15" i="37"/>
  <c r="K14" i="37"/>
  <c r="J14" i="37"/>
  <c r="K12" i="37"/>
  <c r="J12" i="37"/>
  <c r="K8" i="37"/>
  <c r="J8" i="37"/>
  <c r="F17" i="39" l="1"/>
  <c r="G14" i="39"/>
  <c r="F13" i="39"/>
  <c r="E15" i="39"/>
  <c r="G13" i="39"/>
  <c r="F15" i="39"/>
  <c r="E13" i="39"/>
  <c r="E14" i="39"/>
  <c r="G15" i="39"/>
  <c r="F14" i="39"/>
  <c r="G10" i="39"/>
  <c r="G11" i="39"/>
  <c r="F11" i="39"/>
  <c r="E10" i="39"/>
  <c r="F10" i="39"/>
  <c r="E12" i="39"/>
  <c r="F12" i="39"/>
  <c r="E11" i="39"/>
  <c r="G12" i="39"/>
  <c r="G9" i="39"/>
  <c r="F9" i="39"/>
  <c r="E8" i="39"/>
  <c r="G8" i="39"/>
  <c r="E9" i="39"/>
  <c r="F8" i="39"/>
  <c r="E7" i="39"/>
  <c r="G7" i="39"/>
  <c r="F7" i="39"/>
  <c r="D5" i="39"/>
  <c r="E5" i="39"/>
  <c r="F5" i="39"/>
  <c r="P250" i="29"/>
  <c r="F250" i="29"/>
  <c r="G250" i="29"/>
  <c r="H250" i="29"/>
  <c r="I250" i="29"/>
  <c r="J250" i="29"/>
  <c r="K250" i="29"/>
  <c r="L250" i="29"/>
  <c r="M250" i="29"/>
  <c r="N250" i="29"/>
  <c r="O250" i="29"/>
  <c r="F248" i="29"/>
  <c r="G248" i="29"/>
  <c r="H248" i="29"/>
  <c r="I248" i="29"/>
  <c r="J248" i="29"/>
  <c r="K248" i="29"/>
  <c r="L248" i="29"/>
  <c r="M248" i="29"/>
  <c r="N248" i="29"/>
  <c r="O248" i="29"/>
  <c r="Q172" i="30"/>
  <c r="Q169" i="30"/>
  <c r="F253" i="29"/>
  <c r="F43" i="41"/>
  <c r="F40" i="41"/>
  <c r="F41" i="41" s="1"/>
  <c r="J41" i="41" s="1"/>
  <c r="N7" i="1"/>
  <c r="N118" i="41" l="1"/>
  <c r="F117" i="41"/>
  <c r="F118" i="41" s="1"/>
  <c r="G117" i="41"/>
  <c r="G118" i="41" s="1"/>
  <c r="H117" i="41"/>
  <c r="H118" i="41" s="1"/>
  <c r="I117" i="41"/>
  <c r="I118" i="41" s="1"/>
  <c r="J117" i="41"/>
  <c r="J118" i="41" s="1"/>
  <c r="K117" i="41"/>
  <c r="K118" i="41" s="1"/>
  <c r="L117" i="41"/>
  <c r="L118" i="41" s="1"/>
  <c r="M117" i="41"/>
  <c r="M118" i="41" s="1"/>
  <c r="O117" i="41"/>
  <c r="O118" i="41" s="1"/>
  <c r="E117" i="41"/>
  <c r="E118" i="41" s="1"/>
  <c r="H119" i="41" l="1"/>
  <c r="P117" i="41"/>
  <c r="P118" i="41"/>
  <c r="P119" i="41" l="1"/>
  <c r="G67" i="41"/>
  <c r="I67" i="41" s="1"/>
  <c r="D26" i="30" l="1"/>
  <c r="C26" i="30"/>
  <c r="F108" i="41"/>
  <c r="F109" i="41" s="1"/>
  <c r="G108" i="41"/>
  <c r="G109" i="41" s="1"/>
  <c r="H108" i="41"/>
  <c r="H109" i="41" s="1"/>
  <c r="I108" i="41"/>
  <c r="I109" i="41" s="1"/>
  <c r="J108" i="41"/>
  <c r="J109" i="41" s="1"/>
  <c r="K108" i="41"/>
  <c r="K109" i="41" s="1"/>
  <c r="L108" i="41"/>
  <c r="L109" i="41" s="1"/>
  <c r="M108" i="41"/>
  <c r="M109" i="41" s="1"/>
  <c r="N108" i="41"/>
  <c r="N109" i="41" s="1"/>
  <c r="O108" i="41"/>
  <c r="O109" i="41" s="1"/>
  <c r="D95" i="41"/>
  <c r="D96" i="41" s="1"/>
  <c r="H97" i="41" l="1"/>
  <c r="D97" i="41"/>
  <c r="D91" i="41" l="1"/>
  <c r="D99" i="41" s="1"/>
  <c r="E105" i="41" s="1"/>
  <c r="E108" i="41" s="1"/>
  <c r="D9" i="41"/>
  <c r="D10" i="41" s="1"/>
  <c r="D6" i="41"/>
  <c r="O77" i="41"/>
  <c r="O78" i="41" s="1"/>
  <c r="N77" i="41"/>
  <c r="N78" i="41" s="1"/>
  <c r="M77" i="41"/>
  <c r="M78" i="41" s="1"/>
  <c r="L77" i="41"/>
  <c r="L78" i="41" s="1"/>
  <c r="K77" i="41"/>
  <c r="K78" i="41" s="1"/>
  <c r="J77" i="41"/>
  <c r="J78" i="41" s="1"/>
  <c r="I77" i="41"/>
  <c r="I78" i="41" s="1"/>
  <c r="H77" i="41"/>
  <c r="H78" i="41" s="1"/>
  <c r="F77" i="41"/>
  <c r="F78" i="41" s="1"/>
  <c r="E77" i="41"/>
  <c r="E78" i="41" s="1"/>
  <c r="O73" i="41"/>
  <c r="O74" i="41" s="1"/>
  <c r="N73" i="41"/>
  <c r="N74" i="41" s="1"/>
  <c r="M73" i="41"/>
  <c r="M74" i="41" s="1"/>
  <c r="L73" i="41"/>
  <c r="L74" i="41" s="1"/>
  <c r="K73" i="41"/>
  <c r="K74" i="41" s="1"/>
  <c r="J73" i="41"/>
  <c r="J74" i="41" s="1"/>
  <c r="H73" i="41"/>
  <c r="H74" i="41" s="1"/>
  <c r="E73" i="41"/>
  <c r="E74" i="41" s="1"/>
  <c r="O68" i="41"/>
  <c r="O70" i="41" s="1"/>
  <c r="N68" i="41"/>
  <c r="N70" i="41" s="1"/>
  <c r="M68" i="41"/>
  <c r="M70" i="41" s="1"/>
  <c r="L68" i="41"/>
  <c r="L70" i="41" s="1"/>
  <c r="K68" i="41"/>
  <c r="K70" i="41" s="1"/>
  <c r="J68" i="41"/>
  <c r="J70" i="41" s="1"/>
  <c r="H68" i="41"/>
  <c r="H70" i="41" s="1"/>
  <c r="F68" i="41"/>
  <c r="F70" i="41" s="1"/>
  <c r="E68" i="41"/>
  <c r="E70" i="41" s="1"/>
  <c r="J57" i="41"/>
  <c r="J58" i="41" s="1"/>
  <c r="J61" i="41" s="1"/>
  <c r="J63" i="41" s="1"/>
  <c r="J65" i="41" s="1"/>
  <c r="K57" i="41"/>
  <c r="K58" i="41" s="1"/>
  <c r="K61" i="41" s="1"/>
  <c r="K63" i="41" s="1"/>
  <c r="K65" i="41" s="1"/>
  <c r="L57" i="41"/>
  <c r="L58" i="41" s="1"/>
  <c r="L61" i="41" s="1"/>
  <c r="L63" i="41" s="1"/>
  <c r="L65" i="41" s="1"/>
  <c r="M57" i="41"/>
  <c r="M58" i="41" s="1"/>
  <c r="M61" i="41" s="1"/>
  <c r="M63" i="41" s="1"/>
  <c r="M65" i="41" s="1"/>
  <c r="N57" i="41"/>
  <c r="N58" i="41" s="1"/>
  <c r="N61" i="41" s="1"/>
  <c r="N63" i="41" s="1"/>
  <c r="O57" i="41"/>
  <c r="O58" i="41" s="1"/>
  <c r="O61" i="41" s="1"/>
  <c r="O63" i="41" s="1"/>
  <c r="O65" i="41" s="1"/>
  <c r="F49" i="41"/>
  <c r="F57" i="41" s="1"/>
  <c r="F58" i="41" s="1"/>
  <c r="F61" i="41" s="1"/>
  <c r="F63" i="41" s="1"/>
  <c r="F65" i="41" s="1"/>
  <c r="G49" i="41"/>
  <c r="G57" i="41" s="1"/>
  <c r="G58" i="41" s="1"/>
  <c r="G61" i="41" s="1"/>
  <c r="G63" i="41" s="1"/>
  <c r="H49" i="41"/>
  <c r="H57" i="41" s="1"/>
  <c r="H58" i="41" s="1"/>
  <c r="H61" i="41" s="1"/>
  <c r="H63" i="41" s="1"/>
  <c r="H65" i="41" s="1"/>
  <c r="I49" i="41"/>
  <c r="I57" i="41" s="1"/>
  <c r="I58" i="41" s="1"/>
  <c r="I61" i="41" s="1"/>
  <c r="E49" i="41"/>
  <c r="E57" i="41" s="1"/>
  <c r="F34" i="41"/>
  <c r="F35" i="41" s="1"/>
  <c r="F36" i="41" s="1"/>
  <c r="E56" i="41" s="1"/>
  <c r="P54" i="41"/>
  <c r="D29" i="41"/>
  <c r="D11" i="41" l="1"/>
  <c r="D12" i="41" s="1"/>
  <c r="E109" i="41"/>
  <c r="P109" i="41" s="1"/>
  <c r="D16" i="41" s="1"/>
  <c r="P108" i="41"/>
  <c r="J36" i="41"/>
  <c r="N65" i="41"/>
  <c r="G65" i="41"/>
  <c r="E58" i="41"/>
  <c r="G76" i="41"/>
  <c r="G77" i="41" s="1"/>
  <c r="G78" i="41" s="1"/>
  <c r="P78" i="41" s="1"/>
  <c r="Q78" i="41" s="1"/>
  <c r="I62" i="41"/>
  <c r="I63" i="41" s="1"/>
  <c r="F72" i="41"/>
  <c r="D17" i="41" l="1"/>
  <c r="I65" i="41"/>
  <c r="P58" i="41"/>
  <c r="E61" i="41"/>
  <c r="E63" i="41" s="1"/>
  <c r="F73" i="41"/>
  <c r="F74" i="41" s="1"/>
  <c r="G72" i="41"/>
  <c r="E65" i="41" l="1"/>
  <c r="P65" i="41" s="1"/>
  <c r="Q65" i="41" s="1"/>
  <c r="P63" i="41"/>
  <c r="G73" i="41"/>
  <c r="G74" i="41" s="1"/>
  <c r="I72" i="41"/>
  <c r="I73" i="41" s="1"/>
  <c r="I74" i="41" s="1"/>
  <c r="H69" i="41" l="1"/>
  <c r="O69" i="41"/>
  <c r="N69" i="41"/>
  <c r="F69" i="41"/>
  <c r="E69" i="41"/>
  <c r="M69" i="41"/>
  <c r="J69" i="41"/>
  <c r="K69" i="41"/>
  <c r="L69" i="41"/>
  <c r="P74" i="41"/>
  <c r="Q74" i="41" s="1"/>
  <c r="L64" i="41"/>
  <c r="M64" i="41"/>
  <c r="F64" i="41"/>
  <c r="N64" i="41"/>
  <c r="G64" i="41"/>
  <c r="H64" i="41"/>
  <c r="K64" i="41"/>
  <c r="J64" i="41"/>
  <c r="O64" i="41"/>
  <c r="I64" i="41"/>
  <c r="E64" i="41"/>
  <c r="P157" i="29" l="1"/>
  <c r="K157" i="29"/>
  <c r="L157" i="29"/>
  <c r="J157" i="29"/>
  <c r="E232" i="29"/>
  <c r="E238" i="29"/>
  <c r="E241" i="29" s="1"/>
  <c r="E242" i="29" s="1"/>
  <c r="E243" i="29" s="1"/>
  <c r="E235" i="29"/>
  <c r="E239" i="29" l="1"/>
  <c r="E240" i="29" s="1"/>
  <c r="E244" i="29" s="1"/>
  <c r="E245" i="29" s="1"/>
  <c r="P4" i="38" l="1"/>
  <c r="F18" i="38"/>
  <c r="D33" i="39" s="1"/>
  <c r="E66" i="38"/>
  <c r="G85" i="38"/>
  <c r="E53" i="38" s="1"/>
  <c r="E54" i="38" s="1"/>
  <c r="E56" i="38" s="1"/>
  <c r="E57" i="38" s="1"/>
  <c r="E58" i="38" s="1"/>
  <c r="G46" i="36"/>
  <c r="G84" i="29" s="1"/>
  <c r="E59" i="38" l="1"/>
  <c r="E62" i="38" s="1"/>
  <c r="F19" i="38" s="1"/>
  <c r="F20" i="38" s="1"/>
  <c r="D30" i="39"/>
  <c r="G24" i="36" l="1"/>
  <c r="D27" i="39" s="1"/>
  <c r="F99" i="36"/>
  <c r="G99" i="36"/>
  <c r="H99" i="36"/>
  <c r="I99" i="36"/>
  <c r="J99" i="36"/>
  <c r="K99" i="36"/>
  <c r="L99" i="36"/>
  <c r="M99" i="36"/>
  <c r="N99" i="36"/>
  <c r="O99" i="36"/>
  <c r="P99" i="36"/>
  <c r="F84" i="29"/>
  <c r="D29" i="39" s="1"/>
  <c r="D31" i="39" s="1"/>
  <c r="F59" i="29"/>
  <c r="B154" i="29"/>
  <c r="I47" i="37"/>
  <c r="H47" i="37"/>
  <c r="I45" i="37"/>
  <c r="H45" i="37"/>
  <c r="I37" i="37"/>
  <c r="H37" i="37"/>
  <c r="I35" i="37"/>
  <c r="H35" i="37"/>
  <c r="I27" i="37"/>
  <c r="H27" i="37"/>
  <c r="I25" i="37"/>
  <c r="H25" i="37"/>
  <c r="I17" i="37"/>
  <c r="H17" i="37"/>
  <c r="I15" i="37"/>
  <c r="H15" i="37"/>
  <c r="J33" i="29"/>
  <c r="J32" i="29"/>
  <c r="J31" i="29"/>
  <c r="J30" i="29"/>
  <c r="D85" i="30"/>
  <c r="M9" i="37"/>
  <c r="M10" i="37"/>
  <c r="M11" i="37"/>
  <c r="M12" i="37"/>
  <c r="M13" i="37"/>
  <c r="M14" i="37"/>
  <c r="M16" i="37"/>
  <c r="M18" i="37"/>
  <c r="M19" i="37"/>
  <c r="M20" i="37"/>
  <c r="M21" i="37"/>
  <c r="M22" i="37"/>
  <c r="M23" i="37"/>
  <c r="M24" i="37"/>
  <c r="M26" i="37"/>
  <c r="M28" i="37"/>
  <c r="M29" i="37"/>
  <c r="M30" i="37"/>
  <c r="M31" i="37"/>
  <c r="M32" i="37"/>
  <c r="M33" i="37"/>
  <c r="M34" i="37"/>
  <c r="M36" i="37"/>
  <c r="M38" i="37"/>
  <c r="M39" i="37"/>
  <c r="M40" i="37"/>
  <c r="M41" i="37"/>
  <c r="M42" i="37"/>
  <c r="M43" i="37"/>
  <c r="M44" i="37"/>
  <c r="M46" i="37"/>
  <c r="M8" i="37"/>
  <c r="N156" i="29"/>
  <c r="L156" i="29"/>
  <c r="K156" i="29"/>
  <c r="J156" i="29"/>
  <c r="G158" i="30"/>
  <c r="F158" i="30"/>
  <c r="E158" i="30"/>
  <c r="D158" i="30"/>
  <c r="C158" i="30"/>
  <c r="G155" i="30"/>
  <c r="F155" i="30"/>
  <c r="E155" i="30"/>
  <c r="D155" i="30"/>
  <c r="C155" i="30"/>
  <c r="T90" i="30"/>
  <c r="T91" i="30"/>
  <c r="T92" i="30"/>
  <c r="T93" i="30"/>
  <c r="T94" i="30"/>
  <c r="T95" i="30"/>
  <c r="T96" i="30"/>
  <c r="T97" i="30"/>
  <c r="T98" i="30"/>
  <c r="T99" i="30"/>
  <c r="T100" i="30"/>
  <c r="T101" i="30"/>
  <c r="T102" i="30"/>
  <c r="T103" i="30"/>
  <c r="T104" i="30"/>
  <c r="T105" i="30"/>
  <c r="T106" i="30"/>
  <c r="T107" i="30"/>
  <c r="T108" i="30"/>
  <c r="T109" i="30"/>
  <c r="T110" i="30"/>
  <c r="T111" i="30"/>
  <c r="T112" i="30"/>
  <c r="T113" i="30"/>
  <c r="T114" i="30"/>
  <c r="T115" i="30"/>
  <c r="T116" i="30"/>
  <c r="T117" i="30"/>
  <c r="T118" i="30"/>
  <c r="T119" i="30"/>
  <c r="T120" i="30"/>
  <c r="T121" i="30"/>
  <c r="T122" i="30"/>
  <c r="T123" i="30"/>
  <c r="T124" i="30"/>
  <c r="T125" i="30"/>
  <c r="T126" i="30"/>
  <c r="T127" i="30"/>
  <c r="T128" i="30"/>
  <c r="T89" i="30"/>
  <c r="G152" i="30"/>
  <c r="F152" i="30"/>
  <c r="E152" i="30"/>
  <c r="D152" i="30"/>
  <c r="C152" i="30"/>
  <c r="H171" i="36"/>
  <c r="P163" i="36"/>
  <c r="O163" i="36"/>
  <c r="N56" i="36" s="1"/>
  <c r="N163" i="36"/>
  <c r="M56" i="36" s="1"/>
  <c r="M163" i="36"/>
  <c r="L56" i="36" s="1"/>
  <c r="L163" i="36"/>
  <c r="K56" i="36" s="1"/>
  <c r="K163" i="36"/>
  <c r="J56" i="36" s="1"/>
  <c r="J163" i="36"/>
  <c r="I56" i="36" s="1"/>
  <c r="I163" i="36"/>
  <c r="H56" i="36" s="1"/>
  <c r="H163" i="36"/>
  <c r="G56" i="36" s="1"/>
  <c r="G163" i="36"/>
  <c r="F56" i="36" s="1"/>
  <c r="F163" i="36"/>
  <c r="E56" i="36" s="1"/>
  <c r="E159" i="36"/>
  <c r="H159" i="36" s="1"/>
  <c r="H160" i="36" s="1"/>
  <c r="E153" i="36"/>
  <c r="G154" i="36" s="1"/>
  <c r="E133" i="36"/>
  <c r="P130" i="36"/>
  <c r="O130" i="36"/>
  <c r="N130" i="36"/>
  <c r="M130" i="36"/>
  <c r="L130" i="36"/>
  <c r="K130" i="36"/>
  <c r="J130" i="36"/>
  <c r="I130" i="36"/>
  <c r="H130" i="36"/>
  <c r="G130" i="36"/>
  <c r="G131" i="36" s="1"/>
  <c r="F130" i="36"/>
  <c r="F131" i="36" s="1"/>
  <c r="E125" i="36"/>
  <c r="P124" i="36"/>
  <c r="O124" i="36"/>
  <c r="N124" i="36"/>
  <c r="M124" i="36"/>
  <c r="L124" i="36"/>
  <c r="K124" i="36"/>
  <c r="J124" i="36"/>
  <c r="I124" i="36"/>
  <c r="H124" i="36"/>
  <c r="G124" i="36"/>
  <c r="F124" i="36"/>
  <c r="E124" i="36"/>
  <c r="E123" i="36"/>
  <c r="E122" i="36"/>
  <c r="E121" i="36"/>
  <c r="E120" i="36"/>
  <c r="E119" i="36"/>
  <c r="E118" i="36"/>
  <c r="E117" i="36"/>
  <c r="E116" i="36"/>
  <c r="E115" i="36"/>
  <c r="P114" i="36"/>
  <c r="O114" i="36"/>
  <c r="N114" i="36"/>
  <c r="M114" i="36"/>
  <c r="L114" i="36"/>
  <c r="K114" i="36"/>
  <c r="J114" i="36"/>
  <c r="I114" i="36"/>
  <c r="H114" i="36"/>
  <c r="G114" i="36"/>
  <c r="F114" i="36"/>
  <c r="E114" i="36"/>
  <c r="E113" i="36"/>
  <c r="E112" i="36"/>
  <c r="E111" i="36"/>
  <c r="E110" i="36"/>
  <c r="E109" i="36"/>
  <c r="E108" i="36"/>
  <c r="E107" i="36"/>
  <c r="E106" i="36"/>
  <c r="E105" i="36"/>
  <c r="P104" i="36"/>
  <c r="O104" i="36"/>
  <c r="N104" i="36"/>
  <c r="M104" i="36"/>
  <c r="L104" i="36"/>
  <c r="K104" i="36"/>
  <c r="J104" i="36"/>
  <c r="I104" i="36"/>
  <c r="H104" i="36"/>
  <c r="G104" i="36"/>
  <c r="F104" i="36"/>
  <c r="E104" i="36"/>
  <c r="E103" i="36"/>
  <c r="P102" i="36"/>
  <c r="O102" i="36"/>
  <c r="N102" i="36"/>
  <c r="M102" i="36"/>
  <c r="L102" i="36"/>
  <c r="K102" i="36"/>
  <c r="J102" i="36"/>
  <c r="I102" i="36"/>
  <c r="H102" i="36"/>
  <c r="G102" i="36"/>
  <c r="F102" i="36"/>
  <c r="Q97" i="36"/>
  <c r="Q96" i="36"/>
  <c r="Q95" i="36"/>
  <c r="Q94" i="36"/>
  <c r="D168" i="34"/>
  <c r="D162" i="34"/>
  <c r="D155" i="34"/>
  <c r="E10" i="35"/>
  <c r="E11" i="35" s="1"/>
  <c r="E15" i="35" s="1"/>
  <c r="C10" i="35"/>
  <c r="C11" i="35" s="1"/>
  <c r="C8" i="35"/>
  <c r="C13" i="35" s="1"/>
  <c r="C7" i="35"/>
  <c r="C5" i="35"/>
  <c r="M15" i="37" l="1"/>
  <c r="M17" i="37"/>
  <c r="M45" i="37"/>
  <c r="P162" i="29"/>
  <c r="N162" i="29"/>
  <c r="M162" i="29"/>
  <c r="P159" i="29"/>
  <c r="N159" i="29"/>
  <c r="M159" i="29"/>
  <c r="P158" i="29"/>
  <c r="M158" i="29"/>
  <c r="N158" i="29"/>
  <c r="L136" i="30"/>
  <c r="L138" i="30" s="1"/>
  <c r="K136" i="30"/>
  <c r="L128" i="30"/>
  <c r="H170" i="29"/>
  <c r="H168" i="29"/>
  <c r="H166" i="29"/>
  <c r="H164" i="29"/>
  <c r="P166" i="29"/>
  <c r="M166" i="29"/>
  <c r="K166" i="29"/>
  <c r="P164" i="29"/>
  <c r="M164" i="29"/>
  <c r="K164" i="29"/>
  <c r="J164" i="29"/>
  <c r="L164" i="29"/>
  <c r="N166" i="29"/>
  <c r="L166" i="29"/>
  <c r="J166" i="29"/>
  <c r="N164" i="29"/>
  <c r="M35" i="37"/>
  <c r="F24" i="36"/>
  <c r="H24" i="36" s="1"/>
  <c r="D26" i="39"/>
  <c r="F46" i="36"/>
  <c r="H46" i="36" s="1"/>
  <c r="H84" i="29"/>
  <c r="G59" i="29"/>
  <c r="H59" i="29" s="1"/>
  <c r="K106" i="36"/>
  <c r="K108" i="36" s="1"/>
  <c r="K110" i="36" s="1"/>
  <c r="N116" i="36"/>
  <c r="N118" i="36" s="1"/>
  <c r="M116" i="36"/>
  <c r="M118" i="36" s="1"/>
  <c r="M120" i="36" s="1"/>
  <c r="M122" i="36" s="1"/>
  <c r="M123" i="36" s="1"/>
  <c r="G116" i="36"/>
  <c r="G118" i="36" s="1"/>
  <c r="G119" i="36" s="1"/>
  <c r="L106" i="36"/>
  <c r="L108" i="36" s="1"/>
  <c r="L110" i="36" s="1"/>
  <c r="L112" i="36" s="1"/>
  <c r="L113" i="36" s="1"/>
  <c r="H106" i="36"/>
  <c r="H108" i="36" s="1"/>
  <c r="H109" i="36" s="1"/>
  <c r="O116" i="36"/>
  <c r="O118" i="36" s="1"/>
  <c r="O119" i="36" s="1"/>
  <c r="O106" i="36"/>
  <c r="O108" i="36" s="1"/>
  <c r="O110" i="36" s="1"/>
  <c r="O112" i="36" s="1"/>
  <c r="O113" i="36" s="1"/>
  <c r="F125" i="36"/>
  <c r="J160" i="36"/>
  <c r="G106" i="36"/>
  <c r="G108" i="36" s="1"/>
  <c r="G110" i="36" s="1"/>
  <c r="G112" i="36" s="1"/>
  <c r="G113" i="36" s="1"/>
  <c r="G159" i="36"/>
  <c r="G160" i="36" s="1"/>
  <c r="I106" i="36"/>
  <c r="I108" i="36" s="1"/>
  <c r="I110" i="36" s="1"/>
  <c r="I111" i="36" s="1"/>
  <c r="L116" i="36"/>
  <c r="L118" i="36" s="1"/>
  <c r="L120" i="36" s="1"/>
  <c r="L122" i="36" s="1"/>
  <c r="L123" i="36" s="1"/>
  <c r="J106" i="36"/>
  <c r="J108" i="36" s="1"/>
  <c r="J110" i="36" s="1"/>
  <c r="J112" i="36" s="1"/>
  <c r="J113" i="36" s="1"/>
  <c r="F106" i="36"/>
  <c r="F108" i="36" s="1"/>
  <c r="F110" i="36" s="1"/>
  <c r="F112" i="36" s="1"/>
  <c r="F113" i="36" s="1"/>
  <c r="I116" i="36"/>
  <c r="I118" i="36" s="1"/>
  <c r="I120" i="36" s="1"/>
  <c r="I122" i="36" s="1"/>
  <c r="I123" i="36" s="1"/>
  <c r="K158" i="29"/>
  <c r="J159" i="29"/>
  <c r="J158" i="29"/>
  <c r="L159" i="29"/>
  <c r="K159" i="29"/>
  <c r="L158" i="29"/>
  <c r="M37" i="37"/>
  <c r="M25" i="37"/>
  <c r="M27" i="37"/>
  <c r="M47" i="37"/>
  <c r="K106" i="30"/>
  <c r="L106" i="30"/>
  <c r="K108" i="30"/>
  <c r="L108" i="30"/>
  <c r="K126" i="30"/>
  <c r="L126" i="30"/>
  <c r="K96" i="30"/>
  <c r="K116" i="30"/>
  <c r="L96" i="30"/>
  <c r="L116" i="30"/>
  <c r="K98" i="30"/>
  <c r="K118" i="30"/>
  <c r="K128" i="30"/>
  <c r="L98" i="30"/>
  <c r="L118" i="30"/>
  <c r="C15" i="35"/>
  <c r="N106" i="36"/>
  <c r="N108" i="36" s="1"/>
  <c r="N110" i="36" s="1"/>
  <c r="N112" i="36" s="1"/>
  <c r="N113" i="36" s="1"/>
  <c r="F116" i="36"/>
  <c r="F117" i="36" s="1"/>
  <c r="F159" i="36"/>
  <c r="F160" i="36" s="1"/>
  <c r="M106" i="36"/>
  <c r="M108" i="36" s="1"/>
  <c r="M110" i="36" s="1"/>
  <c r="M112" i="36" s="1"/>
  <c r="M113" i="36" s="1"/>
  <c r="H116" i="36"/>
  <c r="H117" i="36" s="1"/>
  <c r="P106" i="36"/>
  <c r="P108" i="36" s="1"/>
  <c r="P110" i="36" s="1"/>
  <c r="P112" i="36" s="1"/>
  <c r="P113" i="36" s="1"/>
  <c r="K116" i="36"/>
  <c r="K118" i="36" s="1"/>
  <c r="K120" i="36" s="1"/>
  <c r="K122" i="36" s="1"/>
  <c r="K123" i="36" s="1"/>
  <c r="H154" i="36"/>
  <c r="J155" i="36" s="1"/>
  <c r="I155" i="30"/>
  <c r="C156" i="30" s="1"/>
  <c r="I158" i="30"/>
  <c r="C159" i="30" s="1"/>
  <c r="I152" i="30"/>
  <c r="C153" i="30" s="1"/>
  <c r="G125" i="36"/>
  <c r="I125" i="36"/>
  <c r="M125" i="36"/>
  <c r="N125" i="36"/>
  <c r="P125" i="36"/>
  <c r="K103" i="36"/>
  <c r="L103" i="36"/>
  <c r="I103" i="36"/>
  <c r="H103" i="36"/>
  <c r="P103" i="36"/>
  <c r="G103" i="36"/>
  <c r="O103" i="36"/>
  <c r="F103" i="36"/>
  <c r="K105" i="36"/>
  <c r="M105" i="36"/>
  <c r="J105" i="36"/>
  <c r="I105" i="36"/>
  <c r="H105" i="36"/>
  <c r="P105" i="36"/>
  <c r="G105" i="36"/>
  <c r="J103" i="36"/>
  <c r="F105" i="36"/>
  <c r="O115" i="36"/>
  <c r="G115" i="36"/>
  <c r="N115" i="36"/>
  <c r="F115" i="36"/>
  <c r="P115" i="36"/>
  <c r="L115" i="36"/>
  <c r="K115" i="36"/>
  <c r="J115" i="36"/>
  <c r="I115" i="36"/>
  <c r="M103" i="36"/>
  <c r="L105" i="36"/>
  <c r="J116" i="36"/>
  <c r="Q114" i="36"/>
  <c r="H115" i="36"/>
  <c r="P116" i="36"/>
  <c r="N103" i="36"/>
  <c r="N105" i="36"/>
  <c r="M115" i="36"/>
  <c r="O105" i="36"/>
  <c r="K125" i="36"/>
  <c r="J125" i="36"/>
  <c r="O125" i="36"/>
  <c r="F154" i="36"/>
  <c r="H125" i="36"/>
  <c r="L125" i="36"/>
  <c r="J148" i="34"/>
  <c r="I148" i="34"/>
  <c r="G148" i="34"/>
  <c r="F148" i="34"/>
  <c r="E148" i="34"/>
  <c r="J144" i="34"/>
  <c r="I144" i="34"/>
  <c r="G144" i="34"/>
  <c r="F144" i="34"/>
  <c r="E144" i="34"/>
  <c r="J140" i="34"/>
  <c r="I140" i="34"/>
  <c r="G140" i="34"/>
  <c r="F140" i="34"/>
  <c r="E140" i="34"/>
  <c r="J136" i="34"/>
  <c r="I136" i="34"/>
  <c r="G136" i="34"/>
  <c r="F136" i="34"/>
  <c r="E136" i="34"/>
  <c r="J132" i="34"/>
  <c r="I132" i="34"/>
  <c r="G132" i="34"/>
  <c r="F132" i="34"/>
  <c r="E132" i="34"/>
  <c r="J128" i="34"/>
  <c r="I128" i="34"/>
  <c r="G128" i="34"/>
  <c r="F128" i="34"/>
  <c r="E128" i="34"/>
  <c r="J124" i="34"/>
  <c r="I124" i="34"/>
  <c r="G124" i="34"/>
  <c r="F124" i="34"/>
  <c r="E124" i="34"/>
  <c r="J120" i="34"/>
  <c r="I120" i="34"/>
  <c r="G120" i="34"/>
  <c r="F120" i="34"/>
  <c r="E120" i="34"/>
  <c r="J116" i="34"/>
  <c r="I116" i="34"/>
  <c r="G116" i="34"/>
  <c r="E161" i="34" s="1"/>
  <c r="F161" i="34" s="1"/>
  <c r="F116" i="34"/>
  <c r="E160" i="34" s="1"/>
  <c r="F160" i="34" s="1"/>
  <c r="E116" i="34"/>
  <c r="J112" i="34"/>
  <c r="I112" i="34"/>
  <c r="G112" i="34"/>
  <c r="F112" i="34"/>
  <c r="E112" i="34"/>
  <c r="J108" i="34"/>
  <c r="I108" i="34"/>
  <c r="G108" i="34"/>
  <c r="F108" i="34"/>
  <c r="E108" i="34"/>
  <c r="J104" i="34"/>
  <c r="I104" i="34"/>
  <c r="G104" i="34"/>
  <c r="F104" i="34"/>
  <c r="E104" i="34"/>
  <c r="J100" i="34"/>
  <c r="I100" i="34"/>
  <c r="G100" i="34"/>
  <c r="F100" i="34"/>
  <c r="D156" i="34" s="1"/>
  <c r="D157" i="34" s="1"/>
  <c r="E100" i="34"/>
  <c r="J96" i="34"/>
  <c r="I96" i="34"/>
  <c r="G96" i="34"/>
  <c r="F96" i="34"/>
  <c r="E96" i="34"/>
  <c r="J92" i="34"/>
  <c r="I92" i="34"/>
  <c r="G92" i="34"/>
  <c r="F92" i="34"/>
  <c r="E92" i="34"/>
  <c r="J88" i="34"/>
  <c r="I88" i="34"/>
  <c r="G88" i="34"/>
  <c r="F88" i="34"/>
  <c r="E88" i="34"/>
  <c r="J84" i="34"/>
  <c r="I84" i="34"/>
  <c r="G84" i="34"/>
  <c r="F84" i="34"/>
  <c r="E84" i="34"/>
  <c r="J80" i="34"/>
  <c r="I80" i="34"/>
  <c r="G80" i="34"/>
  <c r="F80" i="34"/>
  <c r="E80" i="34"/>
  <c r="H76" i="34"/>
  <c r="H80" i="34" s="1"/>
  <c r="H84" i="34" s="1"/>
  <c r="H88" i="34" s="1"/>
  <c r="H92" i="34" s="1"/>
  <c r="H96" i="34" s="1"/>
  <c r="H100" i="34" s="1"/>
  <c r="H104" i="34" s="1"/>
  <c r="H108" i="34" s="1"/>
  <c r="H112" i="34" s="1"/>
  <c r="H116" i="34" s="1"/>
  <c r="H120" i="34" s="1"/>
  <c r="H124" i="34" s="1"/>
  <c r="J76" i="34"/>
  <c r="I76" i="34"/>
  <c r="F76" i="34"/>
  <c r="G76" i="34"/>
  <c r="E76" i="34"/>
  <c r="J72" i="34"/>
  <c r="I72" i="34"/>
  <c r="F72" i="34"/>
  <c r="G72" i="34"/>
  <c r="E72" i="34"/>
  <c r="K82" i="34"/>
  <c r="L82" i="34" s="1"/>
  <c r="K78" i="34"/>
  <c r="L78" i="34" s="1"/>
  <c r="K74" i="34"/>
  <c r="L74" i="34" s="1"/>
  <c r="K70" i="34"/>
  <c r="L70" i="34" s="1"/>
  <c r="K146" i="34"/>
  <c r="L146" i="34" s="1"/>
  <c r="K142" i="34"/>
  <c r="L142" i="34" s="1"/>
  <c r="K130" i="34"/>
  <c r="L130" i="34" s="1"/>
  <c r="K126" i="34"/>
  <c r="L126" i="34" s="1"/>
  <c r="K114" i="34"/>
  <c r="L114" i="34" s="1"/>
  <c r="K110" i="34"/>
  <c r="L110" i="34" s="1"/>
  <c r="K98" i="34"/>
  <c r="L98" i="34" s="1"/>
  <c r="K94" i="34"/>
  <c r="L94" i="34" s="1"/>
  <c r="U128" i="30" l="1"/>
  <c r="S136" i="30"/>
  <c r="V136" i="30" s="1"/>
  <c r="K138" i="30"/>
  <c r="U136" i="30"/>
  <c r="S108" i="30"/>
  <c r="V108" i="30" s="1"/>
  <c r="S128" i="30"/>
  <c r="V128" i="30" s="1"/>
  <c r="S116" i="30"/>
  <c r="V116" i="30" s="1"/>
  <c r="S96" i="30"/>
  <c r="V96" i="30" s="1"/>
  <c r="S106" i="30"/>
  <c r="V106" i="30" s="1"/>
  <c r="S118" i="30"/>
  <c r="V118" i="30" s="1"/>
  <c r="S126" i="30"/>
  <c r="V126" i="30" s="1"/>
  <c r="S98" i="30"/>
  <c r="V98" i="30" s="1"/>
  <c r="D28" i="39"/>
  <c r="D32" i="39" s="1"/>
  <c r="D34" i="39" s="1"/>
  <c r="D35" i="39"/>
  <c r="J165" i="36"/>
  <c r="H185" i="36" s="1"/>
  <c r="K109" i="36"/>
  <c r="F111" i="36"/>
  <c r="K107" i="36"/>
  <c r="K127" i="36" s="1"/>
  <c r="N117" i="36"/>
  <c r="M121" i="36"/>
  <c r="O111" i="36"/>
  <c r="L109" i="36"/>
  <c r="O107" i="36"/>
  <c r="O127" i="36" s="1"/>
  <c r="I117" i="36"/>
  <c r="F107" i="36"/>
  <c r="F127" i="36" s="1"/>
  <c r="L121" i="36"/>
  <c r="L111" i="36"/>
  <c r="O109" i="36"/>
  <c r="N111" i="36"/>
  <c r="L107" i="36"/>
  <c r="L127" i="36" s="1"/>
  <c r="M119" i="36"/>
  <c r="O120" i="36"/>
  <c r="O122" i="36" s="1"/>
  <c r="O123" i="36" s="1"/>
  <c r="H107" i="36"/>
  <c r="H127" i="36" s="1"/>
  <c r="M117" i="36"/>
  <c r="G120" i="36"/>
  <c r="G122" i="36" s="1"/>
  <c r="G123" i="36" s="1"/>
  <c r="G117" i="36"/>
  <c r="G109" i="36"/>
  <c r="H118" i="36"/>
  <c r="H120" i="36" s="1"/>
  <c r="M107" i="36"/>
  <c r="M127" i="36" s="1"/>
  <c r="J111" i="36"/>
  <c r="I119" i="36"/>
  <c r="F118" i="36"/>
  <c r="F119" i="36" s="1"/>
  <c r="I121" i="36"/>
  <c r="O117" i="36"/>
  <c r="I112" i="36"/>
  <c r="I113" i="36" s="1"/>
  <c r="I107" i="36"/>
  <c r="I127" i="36" s="1"/>
  <c r="I109" i="36"/>
  <c r="K119" i="36"/>
  <c r="P111" i="36"/>
  <c r="N107" i="36"/>
  <c r="N127" i="36" s="1"/>
  <c r="G111" i="36"/>
  <c r="J107" i="36"/>
  <c r="J127" i="36" s="1"/>
  <c r="K117" i="36"/>
  <c r="F109" i="36"/>
  <c r="J109" i="36"/>
  <c r="M109" i="36"/>
  <c r="L119" i="36"/>
  <c r="N109" i="36"/>
  <c r="G107" i="36"/>
  <c r="G127" i="36" s="1"/>
  <c r="K121" i="36"/>
  <c r="L117" i="36"/>
  <c r="U98" i="30"/>
  <c r="U108" i="30"/>
  <c r="U96" i="30"/>
  <c r="U106" i="30"/>
  <c r="E156" i="30" s="1"/>
  <c r="U118" i="30"/>
  <c r="U126" i="30"/>
  <c r="U116" i="30"/>
  <c r="E159" i="30"/>
  <c r="R98" i="29" s="1"/>
  <c r="G150" i="34"/>
  <c r="I150" i="34" s="1"/>
  <c r="P109" i="36"/>
  <c r="P107" i="36"/>
  <c r="P127" i="36" s="1"/>
  <c r="Q116" i="36"/>
  <c r="Q106" i="36"/>
  <c r="H155" i="36"/>
  <c r="H165" i="36" s="1"/>
  <c r="F185" i="36" s="1"/>
  <c r="E153" i="30"/>
  <c r="P118" i="36"/>
  <c r="P117" i="36"/>
  <c r="N120" i="36"/>
  <c r="N119" i="36"/>
  <c r="M111" i="36"/>
  <c r="Q108" i="36"/>
  <c r="H110" i="36"/>
  <c r="J118" i="36"/>
  <c r="J117" i="36"/>
  <c r="G155" i="36"/>
  <c r="G165" i="36" s="1"/>
  <c r="E185" i="36" s="1"/>
  <c r="F155" i="36"/>
  <c r="F165" i="36" s="1"/>
  <c r="D185" i="36" s="1"/>
  <c r="K112" i="36"/>
  <c r="K113" i="36" s="1"/>
  <c r="K111" i="36"/>
  <c r="D163" i="34"/>
  <c r="K124" i="34"/>
  <c r="L124" i="34" s="1"/>
  <c r="H128" i="34"/>
  <c r="K120" i="34"/>
  <c r="L120" i="34" s="1"/>
  <c r="K116" i="34"/>
  <c r="L116" i="34" s="1"/>
  <c r="K112" i="34"/>
  <c r="L112" i="34" s="1"/>
  <c r="K108" i="34"/>
  <c r="L108" i="34" s="1"/>
  <c r="K104" i="34"/>
  <c r="L104" i="34" s="1"/>
  <c r="K100" i="34"/>
  <c r="L100" i="34" s="1"/>
  <c r="K96" i="34"/>
  <c r="L96" i="34" s="1"/>
  <c r="K92" i="34"/>
  <c r="L92" i="34" s="1"/>
  <c r="K88" i="34"/>
  <c r="L88" i="34" s="1"/>
  <c r="K84" i="34"/>
  <c r="L84" i="34" s="1"/>
  <c r="K80" i="34"/>
  <c r="L80" i="34" s="1"/>
  <c r="K76" i="34"/>
  <c r="L76" i="34" s="1"/>
  <c r="K72" i="34"/>
  <c r="L72" i="34" s="1"/>
  <c r="K138" i="34"/>
  <c r="L138" i="34" s="1"/>
  <c r="K134" i="34"/>
  <c r="L134" i="34" s="1"/>
  <c r="K122" i="34"/>
  <c r="L122" i="34" s="1"/>
  <c r="K118" i="34"/>
  <c r="L118" i="34" s="1"/>
  <c r="K106" i="34"/>
  <c r="L106" i="34" s="1"/>
  <c r="K102" i="34"/>
  <c r="L102" i="34" s="1"/>
  <c r="K90" i="34"/>
  <c r="L90" i="34" s="1"/>
  <c r="K86" i="34"/>
  <c r="L86" i="34" s="1"/>
  <c r="L40" i="34"/>
  <c r="J40" i="34"/>
  <c r="I40" i="34"/>
  <c r="H40" i="34"/>
  <c r="G40" i="34"/>
  <c r="D58" i="34"/>
  <c r="D57" i="34"/>
  <c r="G58" i="34"/>
  <c r="G57" i="34"/>
  <c r="F61" i="34"/>
  <c r="E61" i="34"/>
  <c r="F60" i="34"/>
  <c r="E60" i="34"/>
  <c r="D60" i="34"/>
  <c r="G60" i="34"/>
  <c r="S138" i="30" l="1"/>
  <c r="V138" i="30" s="1"/>
  <c r="U138" i="30"/>
  <c r="F44" i="29"/>
  <c r="F6" i="39" s="1"/>
  <c r="Q98" i="29"/>
  <c r="E44" i="29"/>
  <c r="J162" i="29" s="1"/>
  <c r="Q249" i="29" s="1"/>
  <c r="P98" i="29"/>
  <c r="G44" i="29"/>
  <c r="F120" i="36"/>
  <c r="F122" i="36" s="1"/>
  <c r="F123" i="36" s="1"/>
  <c r="O121" i="36"/>
  <c r="O126" i="36" s="1"/>
  <c r="O128" i="36" s="1"/>
  <c r="M183" i="36" s="1"/>
  <c r="M184" i="36" s="1"/>
  <c r="M186" i="36" s="1"/>
  <c r="N57" i="36" s="1"/>
  <c r="H119" i="36"/>
  <c r="L126" i="36"/>
  <c r="L128" i="36" s="1"/>
  <c r="J183" i="36" s="1"/>
  <c r="J184" i="36" s="1"/>
  <c r="J186" i="36" s="1"/>
  <c r="K57" i="36" s="1"/>
  <c r="G121" i="36"/>
  <c r="G126" i="36" s="1"/>
  <c r="G128" i="36" s="1"/>
  <c r="I126" i="36"/>
  <c r="I128" i="36" s="1"/>
  <c r="G183" i="36" s="1"/>
  <c r="G184" i="36" s="1"/>
  <c r="G186" i="36" s="1"/>
  <c r="H57" i="36" s="1"/>
  <c r="M126" i="36"/>
  <c r="M128" i="36" s="1"/>
  <c r="K183" i="36" s="1"/>
  <c r="K184" i="36" s="1"/>
  <c r="K186" i="36" s="1"/>
  <c r="L57" i="36" s="1"/>
  <c r="H163" i="34"/>
  <c r="D164" i="34"/>
  <c r="K126" i="36"/>
  <c r="K128" i="36" s="1"/>
  <c r="I183" i="36" s="1"/>
  <c r="I184" i="36" s="1"/>
  <c r="I186" i="36" s="1"/>
  <c r="J57" i="36" s="1"/>
  <c r="P120" i="36"/>
  <c r="P119" i="36"/>
  <c r="Q118" i="36"/>
  <c r="J120" i="36"/>
  <c r="J119" i="36"/>
  <c r="H122" i="36"/>
  <c r="H123" i="36" s="1"/>
  <c r="H121" i="36"/>
  <c r="N122" i="36"/>
  <c r="N123" i="36" s="1"/>
  <c r="N121" i="36"/>
  <c r="Q110" i="36"/>
  <c r="H112" i="36"/>
  <c r="H111" i="36"/>
  <c r="K128" i="34"/>
  <c r="L128" i="34" s="1"/>
  <c r="H132" i="34"/>
  <c r="D61" i="34"/>
  <c r="O40" i="34"/>
  <c r="M40" i="34"/>
  <c r="G61" i="34"/>
  <c r="K187" i="36" l="1"/>
  <c r="L58" i="36" s="1"/>
  <c r="K195" i="36"/>
  <c r="K197" i="36" s="1"/>
  <c r="K202" i="36" s="1"/>
  <c r="K204" i="36" s="1"/>
  <c r="K207" i="36" s="1"/>
  <c r="G187" i="36"/>
  <c r="H58" i="36" s="1"/>
  <c r="G195" i="36"/>
  <c r="G197" i="36" s="1"/>
  <c r="G202" i="36" s="1"/>
  <c r="G204" i="36" s="1"/>
  <c r="G207" i="36" s="1"/>
  <c r="J187" i="36"/>
  <c r="K58" i="36" s="1"/>
  <c r="J195" i="36"/>
  <c r="J197" i="36" s="1"/>
  <c r="J202" i="36" s="1"/>
  <c r="J204" i="36" s="1"/>
  <c r="J207" i="36" s="1"/>
  <c r="M187" i="36"/>
  <c r="N58" i="36" s="1"/>
  <c r="M195" i="36"/>
  <c r="M197" i="36" s="1"/>
  <c r="M202" i="36" s="1"/>
  <c r="M204" i="36" s="1"/>
  <c r="M207" i="36" s="1"/>
  <c r="I187" i="36"/>
  <c r="J58" i="36" s="1"/>
  <c r="I195" i="36"/>
  <c r="I197" i="36" s="1"/>
  <c r="I202" i="36" s="1"/>
  <c r="I204" i="36" s="1"/>
  <c r="I207" i="36" s="1"/>
  <c r="G132" i="36"/>
  <c r="G136" i="36" s="1"/>
  <c r="G137" i="36" s="1"/>
  <c r="E183" i="36"/>
  <c r="E184" i="36" s="1"/>
  <c r="E186" i="36" s="1"/>
  <c r="F57" i="36" s="1"/>
  <c r="O296" i="29"/>
  <c r="P142" i="29"/>
  <c r="K162" i="29"/>
  <c r="R249" i="29" s="1"/>
  <c r="E6" i="39"/>
  <c r="L162" i="29"/>
  <c r="S249" i="29" s="1"/>
  <c r="G6" i="39"/>
  <c r="F121" i="36"/>
  <c r="F126" i="36" s="1"/>
  <c r="F128" i="36" s="1"/>
  <c r="D183" i="36" s="1"/>
  <c r="N126" i="36"/>
  <c r="N128" i="36" s="1"/>
  <c r="L183" i="36" s="1"/>
  <c r="L184" i="36" s="1"/>
  <c r="L186" i="36" s="1"/>
  <c r="M57" i="36" s="1"/>
  <c r="Q112" i="36"/>
  <c r="H113" i="36"/>
  <c r="H126" i="36" s="1"/>
  <c r="H128" i="36" s="1"/>
  <c r="F183" i="36" s="1"/>
  <c r="F184" i="36" s="1"/>
  <c r="F186" i="36" s="1"/>
  <c r="G57" i="36" s="1"/>
  <c r="P122" i="36"/>
  <c r="P123" i="36" s="1"/>
  <c r="P121" i="36"/>
  <c r="Q120" i="36"/>
  <c r="J122" i="36"/>
  <c r="J121" i="36"/>
  <c r="K132" i="34"/>
  <c r="L132" i="34" s="1"/>
  <c r="H136" i="34"/>
  <c r="J46" i="34"/>
  <c r="J45" i="34"/>
  <c r="K21" i="34"/>
  <c r="K22" i="34"/>
  <c r="K20" i="34"/>
  <c r="J23" i="34"/>
  <c r="I23" i="34"/>
  <c r="I15" i="34"/>
  <c r="J15" i="34"/>
  <c r="K15" i="34"/>
  <c r="L15" i="34"/>
  <c r="M15" i="34"/>
  <c r="H15" i="34"/>
  <c r="H25" i="34" s="1"/>
  <c r="G15" i="34"/>
  <c r="D15" i="34"/>
  <c r="E15" i="34"/>
  <c r="C15" i="34"/>
  <c r="H12" i="34"/>
  <c r="H14" i="34" s="1"/>
  <c r="G12" i="34"/>
  <c r="G14" i="34" s="1"/>
  <c r="D12" i="34"/>
  <c r="D14" i="34" s="1"/>
  <c r="E12" i="34"/>
  <c r="E14" i="34" s="1"/>
  <c r="C12" i="34"/>
  <c r="C13" i="34"/>
  <c r="M208" i="36" l="1"/>
  <c r="N84" i="36" s="1"/>
  <c r="N83" i="36"/>
  <c r="J208" i="36"/>
  <c r="K84" i="36" s="1"/>
  <c r="K83" i="36"/>
  <c r="G208" i="36"/>
  <c r="H84" i="36" s="1"/>
  <c r="H83" i="36"/>
  <c r="I208" i="36"/>
  <c r="J84" i="36" s="1"/>
  <c r="J83" i="36"/>
  <c r="K208" i="36"/>
  <c r="L84" i="36" s="1"/>
  <c r="L83" i="36"/>
  <c r="F187" i="36"/>
  <c r="G58" i="36" s="1"/>
  <c r="F195" i="36"/>
  <c r="F197" i="36" s="1"/>
  <c r="F202" i="36" s="1"/>
  <c r="F204" i="36" s="1"/>
  <c r="F207" i="36" s="1"/>
  <c r="L187" i="36"/>
  <c r="M58" i="36" s="1"/>
  <c r="L195" i="36"/>
  <c r="L197" i="36" s="1"/>
  <c r="L202" i="36" s="1"/>
  <c r="L204" i="36" s="1"/>
  <c r="L207" i="36" s="1"/>
  <c r="E187" i="36"/>
  <c r="F58" i="36" s="1"/>
  <c r="E195" i="36"/>
  <c r="E197" i="36" s="1"/>
  <c r="P296" i="29"/>
  <c r="Q142" i="29"/>
  <c r="Q296" i="29"/>
  <c r="R142" i="29"/>
  <c r="P126" i="36"/>
  <c r="P128" i="36" s="1"/>
  <c r="N183" i="36" s="1"/>
  <c r="N184" i="36" s="1"/>
  <c r="N186" i="36" s="1"/>
  <c r="Q122" i="36"/>
  <c r="J123" i="36"/>
  <c r="J126" i="36" s="1"/>
  <c r="F132" i="36"/>
  <c r="K136" i="34"/>
  <c r="L136" i="34" s="1"/>
  <c r="H140" i="34"/>
  <c r="M25" i="34"/>
  <c r="K23" i="34"/>
  <c r="K25" i="34"/>
  <c r="J25" i="34"/>
  <c r="I25" i="34"/>
  <c r="C14" i="34"/>
  <c r="L208" i="36" l="1"/>
  <c r="M84" i="36" s="1"/>
  <c r="M83" i="36"/>
  <c r="F208" i="36"/>
  <c r="G84" i="36" s="1"/>
  <c r="G83" i="36"/>
  <c r="N187" i="36"/>
  <c r="N195" i="36"/>
  <c r="N197" i="36" s="1"/>
  <c r="N202" i="36" s="1"/>
  <c r="N204" i="36" s="1"/>
  <c r="N207" i="36" s="1"/>
  <c r="J128" i="36"/>
  <c r="H183" i="36" s="1"/>
  <c r="Q126" i="36"/>
  <c r="K140" i="34"/>
  <c r="L140" i="34" s="1"/>
  <c r="H144" i="34"/>
  <c r="Q5" i="34"/>
  <c r="D5" i="34" s="1"/>
  <c r="N208" i="36" l="1"/>
  <c r="O84" i="36" s="1"/>
  <c r="O83" i="36"/>
  <c r="H184" i="36"/>
  <c r="H186" i="36" s="1"/>
  <c r="I57" i="36" s="1"/>
  <c r="O183" i="36"/>
  <c r="Q128" i="36"/>
  <c r="D180" i="36" s="1"/>
  <c r="D181" i="36" s="1"/>
  <c r="D182" i="36" s="1"/>
  <c r="D184" i="36" s="1"/>
  <c r="H148" i="34"/>
  <c r="K148" i="34" s="1"/>
  <c r="L148" i="34" s="1"/>
  <c r="K144" i="34"/>
  <c r="L144" i="34" s="1"/>
  <c r="E5" i="34"/>
  <c r="G5" i="34"/>
  <c r="C5" i="34"/>
  <c r="G80" i="30"/>
  <c r="G75" i="30"/>
  <c r="G77" i="30" s="1"/>
  <c r="H75" i="30"/>
  <c r="H77" i="30" s="1"/>
  <c r="I75" i="30"/>
  <c r="I77" i="30" s="1"/>
  <c r="J75" i="30"/>
  <c r="J77" i="30" s="1"/>
  <c r="K75" i="30"/>
  <c r="K77" i="30" s="1"/>
  <c r="L75" i="30"/>
  <c r="L77" i="30" s="1"/>
  <c r="M75" i="30"/>
  <c r="M77" i="30" s="1"/>
  <c r="N75" i="30"/>
  <c r="N77" i="30" s="1"/>
  <c r="O75" i="30"/>
  <c r="O77" i="30" s="1"/>
  <c r="P75" i="30"/>
  <c r="P77" i="30" s="1"/>
  <c r="F75" i="30"/>
  <c r="F77" i="30" s="1"/>
  <c r="G72" i="30"/>
  <c r="G74" i="30" s="1"/>
  <c r="H72" i="30"/>
  <c r="H74" i="30" s="1"/>
  <c r="I72" i="30"/>
  <c r="I74" i="30" s="1"/>
  <c r="J72" i="30"/>
  <c r="J74" i="30" s="1"/>
  <c r="K72" i="30"/>
  <c r="K74" i="30" s="1"/>
  <c r="L72" i="30"/>
  <c r="L74" i="30" s="1"/>
  <c r="M72" i="30"/>
  <c r="M74" i="30" s="1"/>
  <c r="N72" i="30"/>
  <c r="N74" i="30" s="1"/>
  <c r="O72" i="30"/>
  <c r="O74" i="30" s="1"/>
  <c r="P72" i="30"/>
  <c r="P74" i="30" s="1"/>
  <c r="F72" i="30"/>
  <c r="F74" i="30" s="1"/>
  <c r="G66" i="30"/>
  <c r="G68" i="30" s="1"/>
  <c r="H66" i="30"/>
  <c r="H68" i="30" s="1"/>
  <c r="I66" i="30"/>
  <c r="I68" i="30" s="1"/>
  <c r="J66" i="30"/>
  <c r="J68" i="30" s="1"/>
  <c r="K66" i="30"/>
  <c r="K68" i="30" s="1"/>
  <c r="L66" i="30"/>
  <c r="L68" i="30" s="1"/>
  <c r="M66" i="30"/>
  <c r="M68" i="30" s="1"/>
  <c r="N66" i="30"/>
  <c r="N68" i="30" s="1"/>
  <c r="O66" i="30"/>
  <c r="O68" i="30" s="1"/>
  <c r="P66" i="30"/>
  <c r="P68" i="30" s="1"/>
  <c r="F66" i="30"/>
  <c r="F68" i="30" s="1"/>
  <c r="G63" i="30"/>
  <c r="G65" i="30" s="1"/>
  <c r="H63" i="30"/>
  <c r="H65" i="30" s="1"/>
  <c r="I63" i="30"/>
  <c r="I65" i="30" s="1"/>
  <c r="J63" i="30"/>
  <c r="J65" i="30" s="1"/>
  <c r="K63" i="30"/>
  <c r="K65" i="30" s="1"/>
  <c r="L63" i="30"/>
  <c r="L65" i="30" s="1"/>
  <c r="M63" i="30"/>
  <c r="M65" i="30" s="1"/>
  <c r="N63" i="30"/>
  <c r="N65" i="30" s="1"/>
  <c r="O63" i="30"/>
  <c r="O65" i="30" s="1"/>
  <c r="P63" i="30"/>
  <c r="P65" i="30" s="1"/>
  <c r="F63" i="30"/>
  <c r="F65" i="30" s="1"/>
  <c r="H228" i="29"/>
  <c r="G59" i="30"/>
  <c r="H59" i="30"/>
  <c r="I59" i="30"/>
  <c r="J59" i="30"/>
  <c r="K59" i="30"/>
  <c r="L59" i="30"/>
  <c r="M59" i="30"/>
  <c r="N59" i="30"/>
  <c r="O59" i="30"/>
  <c r="P59" i="30"/>
  <c r="F59" i="30"/>
  <c r="G58" i="30"/>
  <c r="H58" i="30"/>
  <c r="I58" i="30"/>
  <c r="J58" i="30"/>
  <c r="K58" i="30"/>
  <c r="L58" i="30"/>
  <c r="M58" i="30"/>
  <c r="N58" i="30"/>
  <c r="O58" i="30"/>
  <c r="P58" i="30"/>
  <c r="F58" i="30"/>
  <c r="G220" i="29"/>
  <c r="H220" i="29"/>
  <c r="I220" i="29"/>
  <c r="J220" i="29"/>
  <c r="K220" i="29"/>
  <c r="L220" i="29"/>
  <c r="M220" i="29"/>
  <c r="N220" i="29"/>
  <c r="O220" i="29"/>
  <c r="P220" i="29"/>
  <c r="F220" i="29"/>
  <c r="G55" i="30"/>
  <c r="G164" i="36" s="1"/>
  <c r="G166" i="36" s="1"/>
  <c r="G167" i="36" s="1"/>
  <c r="H55" i="30"/>
  <c r="H164" i="36" s="1"/>
  <c r="H166" i="36" s="1"/>
  <c r="H167" i="36" s="1"/>
  <c r="I55" i="30"/>
  <c r="I164" i="36" s="1"/>
  <c r="I166" i="36" s="1"/>
  <c r="I167" i="36" s="1"/>
  <c r="J55" i="30"/>
  <c r="J164" i="36" s="1"/>
  <c r="J166" i="36" s="1"/>
  <c r="J167" i="36" s="1"/>
  <c r="K55" i="30"/>
  <c r="K164" i="36" s="1"/>
  <c r="K166" i="36" s="1"/>
  <c r="K167" i="36" s="1"/>
  <c r="L55" i="30"/>
  <c r="L164" i="36" s="1"/>
  <c r="L166" i="36" s="1"/>
  <c r="L167" i="36" s="1"/>
  <c r="M55" i="30"/>
  <c r="M164" i="36" s="1"/>
  <c r="M166" i="36" s="1"/>
  <c r="M167" i="36" s="1"/>
  <c r="N55" i="30"/>
  <c r="N164" i="36" s="1"/>
  <c r="N166" i="36" s="1"/>
  <c r="N167" i="36" s="1"/>
  <c r="O55" i="30"/>
  <c r="O164" i="36" s="1"/>
  <c r="O166" i="36" s="1"/>
  <c r="O167" i="36" s="1"/>
  <c r="P55" i="30"/>
  <c r="P164" i="36" s="1"/>
  <c r="P166" i="36" s="1"/>
  <c r="P167" i="36" s="1"/>
  <c r="F55" i="30"/>
  <c r="F164" i="36" s="1"/>
  <c r="Q53" i="30"/>
  <c r="G52" i="30"/>
  <c r="H52" i="30"/>
  <c r="I52" i="30"/>
  <c r="J52" i="30"/>
  <c r="K52" i="30"/>
  <c r="L52" i="30"/>
  <c r="M52" i="30"/>
  <c r="N52" i="30"/>
  <c r="O52" i="30"/>
  <c r="P52" i="30"/>
  <c r="F52" i="30"/>
  <c r="Q159" i="29"/>
  <c r="Q158" i="29"/>
  <c r="E212" i="29"/>
  <c r="H212" i="29" s="1"/>
  <c r="J213" i="29" s="1"/>
  <c r="J222" i="29" s="1"/>
  <c r="J254" i="29" s="1"/>
  <c r="G46" i="30"/>
  <c r="H46" i="30"/>
  <c r="I46" i="30"/>
  <c r="J46" i="30"/>
  <c r="K46" i="30"/>
  <c r="L46" i="30"/>
  <c r="M46" i="30"/>
  <c r="N46" i="30"/>
  <c r="O46" i="30"/>
  <c r="P46" i="30"/>
  <c r="F46" i="30"/>
  <c r="G43" i="30"/>
  <c r="H43" i="30"/>
  <c r="I43" i="30"/>
  <c r="J43" i="30"/>
  <c r="K43" i="30"/>
  <c r="L43" i="30"/>
  <c r="M43" i="30"/>
  <c r="N43" i="30"/>
  <c r="O43" i="30"/>
  <c r="P43" i="30"/>
  <c r="F43" i="30"/>
  <c r="F199" i="29"/>
  <c r="G192" i="29"/>
  <c r="H192" i="29"/>
  <c r="I192" i="29"/>
  <c r="J192" i="29"/>
  <c r="K192" i="29"/>
  <c r="L192" i="29"/>
  <c r="M192" i="29"/>
  <c r="N192" i="29"/>
  <c r="O192" i="29"/>
  <c r="P192" i="29"/>
  <c r="F192" i="29"/>
  <c r="O162" i="29"/>
  <c r="I162" i="29"/>
  <c r="H162" i="29"/>
  <c r="G162" i="29"/>
  <c r="F162" i="29"/>
  <c r="G186" i="29"/>
  <c r="H186" i="29"/>
  <c r="I186" i="29"/>
  <c r="J186" i="29"/>
  <c r="K186" i="29"/>
  <c r="L186" i="29"/>
  <c r="M186" i="29"/>
  <c r="N186" i="29"/>
  <c r="O186" i="29"/>
  <c r="P186" i="29"/>
  <c r="F186" i="29"/>
  <c r="G176" i="29"/>
  <c r="H176" i="29"/>
  <c r="I176" i="29"/>
  <c r="J176" i="29"/>
  <c r="J168" i="29" s="1"/>
  <c r="J170" i="29" s="1"/>
  <c r="K176" i="29"/>
  <c r="K168" i="29" s="1"/>
  <c r="K170" i="29" s="1"/>
  <c r="L176" i="29"/>
  <c r="L168" i="29" s="1"/>
  <c r="L170" i="29" s="1"/>
  <c r="M176" i="29"/>
  <c r="M168" i="29" s="1"/>
  <c r="M170" i="29" s="1"/>
  <c r="N176" i="29"/>
  <c r="N168" i="29" s="1"/>
  <c r="N170" i="29" s="1"/>
  <c r="O176" i="29"/>
  <c r="P176" i="29"/>
  <c r="P168" i="29" s="1"/>
  <c r="P170" i="29" s="1"/>
  <c r="F176" i="29"/>
  <c r="E187" i="29"/>
  <c r="E166" i="29"/>
  <c r="E167" i="29"/>
  <c r="E168" i="29"/>
  <c r="E169" i="29"/>
  <c r="E170" i="29"/>
  <c r="E171" i="29"/>
  <c r="H63" i="38" s="1"/>
  <c r="H64" i="38" s="1"/>
  <c r="E172" i="29"/>
  <c r="E173" i="29"/>
  <c r="I63" i="38" s="1"/>
  <c r="E174" i="29"/>
  <c r="E175" i="29"/>
  <c r="J63" i="38" s="1"/>
  <c r="E176" i="29"/>
  <c r="E177" i="29"/>
  <c r="K63" i="38" s="1"/>
  <c r="E68" i="38" s="1"/>
  <c r="E69" i="38" s="1"/>
  <c r="E71" i="38" s="1"/>
  <c r="E72" i="38" s="1"/>
  <c r="E178" i="29"/>
  <c r="E179" i="29"/>
  <c r="E180" i="29"/>
  <c r="E181" i="29"/>
  <c r="E182" i="29"/>
  <c r="E183" i="29"/>
  <c r="E184" i="29"/>
  <c r="E185" i="29"/>
  <c r="E186" i="29"/>
  <c r="E165" i="29"/>
  <c r="O166" i="29"/>
  <c r="I166" i="29"/>
  <c r="G166" i="29"/>
  <c r="F166" i="29"/>
  <c r="O164" i="29"/>
  <c r="I164" i="29"/>
  <c r="G164" i="29"/>
  <c r="F164" i="29"/>
  <c r="N44" i="1"/>
  <c r="N26" i="1"/>
  <c r="O26" i="1"/>
  <c r="N6" i="1"/>
  <c r="N43" i="1"/>
  <c r="N42" i="1"/>
  <c r="M40" i="1"/>
  <c r="L40" i="1"/>
  <c r="K40" i="1"/>
  <c r="J40" i="1"/>
  <c r="I40" i="1"/>
  <c r="H40" i="1"/>
  <c r="G40" i="1"/>
  <c r="F40" i="1"/>
  <c r="E40" i="1"/>
  <c r="D40" i="1"/>
  <c r="C40" i="1"/>
  <c r="M38" i="1"/>
  <c r="L38" i="1"/>
  <c r="K38" i="1"/>
  <c r="J38" i="1"/>
  <c r="I38" i="1"/>
  <c r="H38" i="1"/>
  <c r="G38" i="1"/>
  <c r="F38" i="1"/>
  <c r="E38" i="1"/>
  <c r="D38" i="1"/>
  <c r="C38" i="1"/>
  <c r="M36" i="1"/>
  <c r="L36" i="1"/>
  <c r="K36" i="1"/>
  <c r="J36" i="1"/>
  <c r="I36" i="1"/>
  <c r="H36" i="1"/>
  <c r="G36" i="1"/>
  <c r="F36" i="1"/>
  <c r="E36" i="1"/>
  <c r="D36" i="1"/>
  <c r="C36" i="1"/>
  <c r="M34" i="1"/>
  <c r="L34" i="1"/>
  <c r="K34" i="1"/>
  <c r="J34" i="1"/>
  <c r="I34" i="1"/>
  <c r="H34" i="1"/>
  <c r="G34" i="1"/>
  <c r="F34" i="1"/>
  <c r="E34" i="1"/>
  <c r="D34" i="1"/>
  <c r="C34" i="1"/>
  <c r="D32" i="1"/>
  <c r="E32" i="1"/>
  <c r="F32" i="1"/>
  <c r="G32" i="1"/>
  <c r="H32" i="1"/>
  <c r="I32" i="1"/>
  <c r="J32" i="1"/>
  <c r="K32" i="1"/>
  <c r="L32" i="1"/>
  <c r="M32" i="1"/>
  <c r="C32" i="1"/>
  <c r="H187" i="36" l="1"/>
  <c r="I58" i="36" s="1"/>
  <c r="H195" i="36"/>
  <c r="H197" i="36" s="1"/>
  <c r="H202" i="36" s="1"/>
  <c r="D186" i="36"/>
  <c r="O184" i="36"/>
  <c r="Q192" i="29"/>
  <c r="Q164" i="29"/>
  <c r="I64" i="38"/>
  <c r="J64" i="38" s="1"/>
  <c r="K64" i="38" s="1"/>
  <c r="E73" i="38" s="1"/>
  <c r="L221" i="29"/>
  <c r="L223" i="29" s="1"/>
  <c r="M221" i="29"/>
  <c r="M222" i="29" s="1"/>
  <c r="K221" i="29"/>
  <c r="K223" i="29" s="1"/>
  <c r="J221" i="29"/>
  <c r="Q164" i="36"/>
  <c r="F166" i="36"/>
  <c r="F221" i="29"/>
  <c r="I221" i="29"/>
  <c r="I223" i="29" s="1"/>
  <c r="P221" i="29"/>
  <c r="P222" i="29" s="1"/>
  <c r="H221" i="29"/>
  <c r="O221" i="29"/>
  <c r="O222" i="29" s="1"/>
  <c r="G221" i="29"/>
  <c r="N221" i="29"/>
  <c r="N222" i="29" s="1"/>
  <c r="Q176" i="29"/>
  <c r="Q166" i="29"/>
  <c r="N69" i="30"/>
  <c r="N71" i="30" s="1"/>
  <c r="L78" i="30"/>
  <c r="L80" i="30" s="1"/>
  <c r="L129" i="36" s="1"/>
  <c r="M78" i="30"/>
  <c r="M80" i="30" s="1"/>
  <c r="M129" i="36" s="1"/>
  <c r="K69" i="30"/>
  <c r="K71" i="30" s="1"/>
  <c r="F78" i="30"/>
  <c r="F80" i="30" s="1"/>
  <c r="P69" i="30"/>
  <c r="P71" i="30" s="1"/>
  <c r="H69" i="30"/>
  <c r="H71" i="30" s="1"/>
  <c r="M69" i="30"/>
  <c r="M71" i="30" s="1"/>
  <c r="L69" i="30"/>
  <c r="L71" i="30" s="1"/>
  <c r="J78" i="30"/>
  <c r="J80" i="30" s="1"/>
  <c r="J129" i="36" s="1"/>
  <c r="F69" i="30"/>
  <c r="F71" i="30" s="1"/>
  <c r="I69" i="30"/>
  <c r="I71" i="30" s="1"/>
  <c r="O78" i="30"/>
  <c r="O80" i="30" s="1"/>
  <c r="O129" i="36" s="1"/>
  <c r="K78" i="30"/>
  <c r="K80" i="30" s="1"/>
  <c r="K129" i="36" s="1"/>
  <c r="P78" i="30"/>
  <c r="P80" i="30" s="1"/>
  <c r="P129" i="36" s="1"/>
  <c r="H78" i="30"/>
  <c r="H80" i="30" s="1"/>
  <c r="H129" i="36" s="1"/>
  <c r="O69" i="30"/>
  <c r="O71" i="30" s="1"/>
  <c r="G69" i="30"/>
  <c r="G71" i="30" s="1"/>
  <c r="J69" i="30"/>
  <c r="J71" i="30" s="1"/>
  <c r="N78" i="30"/>
  <c r="N80" i="30" s="1"/>
  <c r="N129" i="36" s="1"/>
  <c r="I78" i="30"/>
  <c r="I80" i="30" s="1"/>
  <c r="I129" i="36" s="1"/>
  <c r="H171" i="29"/>
  <c r="Q55" i="30"/>
  <c r="Q58" i="30"/>
  <c r="Q43" i="30"/>
  <c r="Q46" i="30"/>
  <c r="Q59" i="30"/>
  <c r="G212" i="29"/>
  <c r="F212" i="29"/>
  <c r="P187" i="29"/>
  <c r="J177" i="29"/>
  <c r="I178" i="29"/>
  <c r="I180" i="29" s="1"/>
  <c r="I182" i="29" s="1"/>
  <c r="I184" i="29" s="1"/>
  <c r="I185" i="29" s="1"/>
  <c r="F168" i="29"/>
  <c r="F170" i="29" s="1"/>
  <c r="F172" i="29" s="1"/>
  <c r="F174" i="29" s="1"/>
  <c r="F175" i="29" s="1"/>
  <c r="N172" i="29"/>
  <c r="K178" i="29"/>
  <c r="K180" i="29" s="1"/>
  <c r="K182" i="29" s="1"/>
  <c r="K184" i="29" s="1"/>
  <c r="K185" i="29" s="1"/>
  <c r="H173" i="29"/>
  <c r="P171" i="29"/>
  <c r="M178" i="29"/>
  <c r="M180" i="29" s="1"/>
  <c r="M182" i="29" s="1"/>
  <c r="M184" i="29" s="1"/>
  <c r="M185" i="29" s="1"/>
  <c r="I168" i="29"/>
  <c r="I170" i="29" s="1"/>
  <c r="I172" i="29" s="1"/>
  <c r="H178" i="29"/>
  <c r="H180" i="29" s="1"/>
  <c r="H182" i="29" s="1"/>
  <c r="H184" i="29" s="1"/>
  <c r="H185" i="29" s="1"/>
  <c r="P178" i="29"/>
  <c r="P180" i="29" s="1"/>
  <c r="P182" i="29" s="1"/>
  <c r="P184" i="29" s="1"/>
  <c r="P185" i="29" s="1"/>
  <c r="J178" i="29"/>
  <c r="L178" i="29"/>
  <c r="L180" i="29" s="1"/>
  <c r="L182" i="29" s="1"/>
  <c r="L184" i="29" s="1"/>
  <c r="L185" i="29" s="1"/>
  <c r="F178" i="29"/>
  <c r="F180" i="29" s="1"/>
  <c r="F182" i="29" s="1"/>
  <c r="F184" i="29" s="1"/>
  <c r="F185" i="29" s="1"/>
  <c r="N178" i="29"/>
  <c r="N180" i="29" s="1"/>
  <c r="N182" i="29" s="1"/>
  <c r="N184" i="29" s="1"/>
  <c r="N185" i="29" s="1"/>
  <c r="M172" i="29"/>
  <c r="M174" i="29" s="1"/>
  <c r="M175" i="29" s="1"/>
  <c r="G168" i="29"/>
  <c r="G170" i="29" s="1"/>
  <c r="G172" i="29" s="1"/>
  <c r="G174" i="29" s="1"/>
  <c r="G175" i="29" s="1"/>
  <c r="O168" i="29"/>
  <c r="O170" i="29" s="1"/>
  <c r="O172" i="29" s="1"/>
  <c r="O174" i="29" s="1"/>
  <c r="O175" i="29" s="1"/>
  <c r="M187" i="29"/>
  <c r="L172" i="29"/>
  <c r="L174" i="29" s="1"/>
  <c r="L175" i="29" s="1"/>
  <c r="L187" i="29"/>
  <c r="K167" i="29"/>
  <c r="I165" i="29"/>
  <c r="P165" i="29"/>
  <c r="H165" i="29"/>
  <c r="O165" i="29"/>
  <c r="G165" i="29"/>
  <c r="N165" i="29"/>
  <c r="F165" i="29"/>
  <c r="M165" i="29"/>
  <c r="L165" i="29"/>
  <c r="K165" i="29"/>
  <c r="G178" i="29"/>
  <c r="G180" i="29" s="1"/>
  <c r="G182" i="29" s="1"/>
  <c r="G184" i="29" s="1"/>
  <c r="G185" i="29" s="1"/>
  <c r="O178" i="29"/>
  <c r="O180" i="29" s="1"/>
  <c r="O182" i="29" s="1"/>
  <c r="O184" i="29" s="1"/>
  <c r="O185" i="29" s="1"/>
  <c r="J167" i="29"/>
  <c r="I167" i="29"/>
  <c r="P167" i="29"/>
  <c r="H167" i="29"/>
  <c r="O167" i="29"/>
  <c r="G167" i="29"/>
  <c r="N167" i="29"/>
  <c r="F167" i="29"/>
  <c r="M167" i="29"/>
  <c r="L167" i="29"/>
  <c r="H175" i="29"/>
  <c r="H169" i="29"/>
  <c r="J165" i="29"/>
  <c r="I177" i="29"/>
  <c r="H177" i="29"/>
  <c r="P177" i="29"/>
  <c r="G177" i="29"/>
  <c r="O177" i="29"/>
  <c r="F177" i="29"/>
  <c r="N177" i="29"/>
  <c r="M177" i="29"/>
  <c r="L177" i="29"/>
  <c r="K177" i="29"/>
  <c r="N187" i="29"/>
  <c r="F187" i="29"/>
  <c r="O187" i="29"/>
  <c r="G187" i="29"/>
  <c r="H187" i="29"/>
  <c r="I187" i="29"/>
  <c r="J187" i="29"/>
  <c r="K187" i="29"/>
  <c r="D195" i="36" l="1"/>
  <c r="D197" i="36" s="1"/>
  <c r="D199" i="36" s="1"/>
  <c r="E57" i="36"/>
  <c r="O186" i="36"/>
  <c r="D187" i="36"/>
  <c r="L224" i="29"/>
  <c r="K224" i="29"/>
  <c r="I224" i="29"/>
  <c r="H213" i="29"/>
  <c r="H222" i="29" s="1"/>
  <c r="H254" i="29" s="1"/>
  <c r="M223" i="29"/>
  <c r="O223" i="29"/>
  <c r="N223" i="29"/>
  <c r="Q221" i="29"/>
  <c r="J191" i="29"/>
  <c r="M131" i="36"/>
  <c r="M132" i="36" s="1"/>
  <c r="M136" i="36" s="1"/>
  <c r="M137" i="36" s="1"/>
  <c r="N131" i="36"/>
  <c r="N132" i="36" s="1"/>
  <c r="N136" i="36" s="1"/>
  <c r="N137" i="36" s="1"/>
  <c r="G191" i="29"/>
  <c r="J131" i="36"/>
  <c r="J132" i="36" s="1"/>
  <c r="J136" i="36" s="1"/>
  <c r="J137" i="36" s="1"/>
  <c r="L131" i="36"/>
  <c r="L132" i="36" s="1"/>
  <c r="L136" i="36" s="1"/>
  <c r="L137" i="36" s="1"/>
  <c r="J223" i="29"/>
  <c r="O191" i="29"/>
  <c r="L191" i="29"/>
  <c r="N191" i="29"/>
  <c r="F171" i="36"/>
  <c r="F141" i="36"/>
  <c r="H131" i="36"/>
  <c r="H132" i="36" s="1"/>
  <c r="Q129" i="36"/>
  <c r="E134" i="36" s="1"/>
  <c r="F135" i="36" s="1"/>
  <c r="F136" i="36" s="1"/>
  <c r="F137" i="36" s="1"/>
  <c r="M191" i="29"/>
  <c r="I191" i="29"/>
  <c r="F206" i="29"/>
  <c r="P131" i="36"/>
  <c r="P132" i="36" s="1"/>
  <c r="P136" i="36" s="1"/>
  <c r="P137" i="36" s="1"/>
  <c r="H191" i="29"/>
  <c r="F167" i="36"/>
  <c r="Q167" i="36" s="1"/>
  <c r="Q166" i="36"/>
  <c r="K191" i="29"/>
  <c r="K131" i="36"/>
  <c r="K132" i="36" s="1"/>
  <c r="K136" i="36" s="1"/>
  <c r="K137" i="36" s="1"/>
  <c r="P191" i="29"/>
  <c r="P223" i="29"/>
  <c r="F228" i="29"/>
  <c r="I131" i="36"/>
  <c r="I132" i="36" s="1"/>
  <c r="I136" i="36" s="1"/>
  <c r="I137" i="36" s="1"/>
  <c r="O131" i="36"/>
  <c r="O132" i="36" s="1"/>
  <c r="O136" i="36" s="1"/>
  <c r="O137" i="36" s="1"/>
  <c r="I174" i="29"/>
  <c r="K171" i="29"/>
  <c r="Q168" i="29"/>
  <c r="J172" i="29"/>
  <c r="J174" i="29" s="1"/>
  <c r="Q177" i="29"/>
  <c r="Q187" i="29"/>
  <c r="P63" i="38" s="1"/>
  <c r="J180" i="29"/>
  <c r="J181" i="29" s="1"/>
  <c r="Q178" i="29"/>
  <c r="G213" i="29"/>
  <c r="G222" i="29" s="1"/>
  <c r="G254" i="29" s="1"/>
  <c r="F213" i="29"/>
  <c r="F222" i="29" s="1"/>
  <c r="F254" i="29" s="1"/>
  <c r="H189" i="29"/>
  <c r="P169" i="29"/>
  <c r="P189" i="29" s="1"/>
  <c r="J169" i="29"/>
  <c r="J189" i="29" s="1"/>
  <c r="H181" i="29"/>
  <c r="L179" i="29"/>
  <c r="K169" i="29"/>
  <c r="K189" i="29" s="1"/>
  <c r="L181" i="29"/>
  <c r="L183" i="29"/>
  <c r="G169" i="29"/>
  <c r="G189" i="29" s="1"/>
  <c r="I183" i="29"/>
  <c r="M183" i="29"/>
  <c r="M179" i="29"/>
  <c r="M181" i="29"/>
  <c r="N171" i="29"/>
  <c r="P172" i="29"/>
  <c r="P174" i="29" s="1"/>
  <c r="P175" i="29" s="1"/>
  <c r="F169" i="29"/>
  <c r="F189" i="29" s="1"/>
  <c r="J171" i="29"/>
  <c r="K181" i="29"/>
  <c r="K183" i="29"/>
  <c r="L173" i="29"/>
  <c r="N183" i="29"/>
  <c r="I179" i="29"/>
  <c r="F171" i="29"/>
  <c r="F173" i="29"/>
  <c r="I181" i="29"/>
  <c r="L169" i="29"/>
  <c r="L189" i="29" s="1"/>
  <c r="N181" i="29"/>
  <c r="N174" i="29"/>
  <c r="N175" i="29" s="1"/>
  <c r="N173" i="29"/>
  <c r="K179" i="29"/>
  <c r="N169" i="29"/>
  <c r="N189" i="29" s="1"/>
  <c r="O169" i="29"/>
  <c r="O189" i="29" s="1"/>
  <c r="F181" i="29"/>
  <c r="H179" i="29"/>
  <c r="H183" i="29"/>
  <c r="G171" i="29"/>
  <c r="M173" i="29"/>
  <c r="I169" i="29"/>
  <c r="I189" i="29" s="1"/>
  <c r="I173" i="29"/>
  <c r="J179" i="29"/>
  <c r="G173" i="29"/>
  <c r="O179" i="29"/>
  <c r="I171" i="29"/>
  <c r="M171" i="29"/>
  <c r="O171" i="29"/>
  <c r="P181" i="29"/>
  <c r="F179" i="29"/>
  <c r="F183" i="29"/>
  <c r="P183" i="29"/>
  <c r="P179" i="29"/>
  <c r="O173" i="29"/>
  <c r="M169" i="29"/>
  <c r="M189" i="29" s="1"/>
  <c r="N179" i="29"/>
  <c r="L171" i="29"/>
  <c r="G179" i="29"/>
  <c r="O181" i="29"/>
  <c r="O183" i="29"/>
  <c r="G181" i="29"/>
  <c r="G183" i="29"/>
  <c r="O187" i="36" l="1"/>
  <c r="F61" i="36" s="1"/>
  <c r="F87" i="36" s="1"/>
  <c r="E58" i="36"/>
  <c r="D201" i="36"/>
  <c r="D202" i="36" s="1"/>
  <c r="D204" i="36" s="1"/>
  <c r="D207" i="36" s="1"/>
  <c r="D200" i="36"/>
  <c r="E201" i="36" s="1"/>
  <c r="E202" i="36" s="1"/>
  <c r="F223" i="29"/>
  <c r="H223" i="29"/>
  <c r="G223" i="29"/>
  <c r="E171" i="36"/>
  <c r="G171" i="36" s="1"/>
  <c r="P224" i="29"/>
  <c r="J224" i="29"/>
  <c r="N224" i="29"/>
  <c r="O224" i="29"/>
  <c r="M224" i="29"/>
  <c r="H136" i="36"/>
  <c r="H137" i="36" s="1"/>
  <c r="Q137" i="36" s="1"/>
  <c r="Q132" i="36"/>
  <c r="Q170" i="29"/>
  <c r="K172" i="29"/>
  <c r="K174" i="29" s="1"/>
  <c r="K175" i="29" s="1"/>
  <c r="I175" i="29"/>
  <c r="I188" i="29" s="1"/>
  <c r="I190" i="29" s="1"/>
  <c r="I251" i="29" s="1"/>
  <c r="I255" i="29" s="1"/>
  <c r="Q179" i="29"/>
  <c r="L63" i="38" s="1"/>
  <c r="L64" i="38" s="1"/>
  <c r="Q171" i="29"/>
  <c r="J173" i="29"/>
  <c r="J182" i="29"/>
  <c r="Q180" i="29"/>
  <c r="Q181" i="29"/>
  <c r="M63" i="38" s="1"/>
  <c r="J175" i="29"/>
  <c r="N188" i="29"/>
  <c r="N190" i="29" s="1"/>
  <c r="P173" i="29"/>
  <c r="P188" i="29" s="1"/>
  <c r="P190" i="29" s="1"/>
  <c r="L188" i="29"/>
  <c r="L190" i="29" s="1"/>
  <c r="H188" i="29"/>
  <c r="H190" i="29" s="1"/>
  <c r="H251" i="29" s="1"/>
  <c r="H255" i="29" s="1"/>
  <c r="M188" i="29"/>
  <c r="M190" i="29" s="1"/>
  <c r="F188" i="29"/>
  <c r="F190" i="29" s="1"/>
  <c r="F251" i="29" s="1"/>
  <c r="O188" i="29"/>
  <c r="O190" i="29" s="1"/>
  <c r="O251" i="29" s="1"/>
  <c r="O255" i="29" s="1"/>
  <c r="G188" i="29"/>
  <c r="G190" i="29" s="1"/>
  <c r="G251" i="29" s="1"/>
  <c r="D208" i="36" l="1"/>
  <c r="E84" i="36" s="1"/>
  <c r="E83" i="36"/>
  <c r="H203" i="36"/>
  <c r="H204" i="36" s="1"/>
  <c r="H207" i="36" s="1"/>
  <c r="E203" i="36"/>
  <c r="E204" i="36" s="1"/>
  <c r="E207" i="36" s="1"/>
  <c r="E141" i="36"/>
  <c r="G141" i="36" s="1"/>
  <c r="I141" i="36" s="1"/>
  <c r="K141" i="36" s="1"/>
  <c r="L141" i="36" s="1"/>
  <c r="G99" i="29"/>
  <c r="F297" i="29"/>
  <c r="F302" i="29" s="1"/>
  <c r="F305" i="29" s="1"/>
  <c r="F308" i="29" s="1"/>
  <c r="F309" i="29" s="1"/>
  <c r="N99" i="29"/>
  <c r="M297" i="29"/>
  <c r="M302" i="29" s="1"/>
  <c r="M305" i="29" s="1"/>
  <c r="M308" i="29" s="1"/>
  <c r="M309" i="29" s="1"/>
  <c r="M310" i="29" s="1"/>
  <c r="M312" i="29" s="1"/>
  <c r="H99" i="29"/>
  <c r="G297" i="29"/>
  <c r="G302" i="29" s="1"/>
  <c r="G305" i="29" s="1"/>
  <c r="G308" i="29" s="1"/>
  <c r="G309" i="29" s="1"/>
  <c r="G310" i="29" s="1"/>
  <c r="G312" i="29" s="1"/>
  <c r="H143" i="29" s="1"/>
  <c r="I256" i="29"/>
  <c r="H100" i="29" s="1"/>
  <c r="O256" i="29"/>
  <c r="N100" i="29" s="1"/>
  <c r="H256" i="29"/>
  <c r="G100" i="29" s="1"/>
  <c r="G255" i="29"/>
  <c r="M251" i="29"/>
  <c r="M255" i="29" s="1"/>
  <c r="T255" i="29"/>
  <c r="L251" i="29"/>
  <c r="L255" i="29" s="1"/>
  <c r="S251" i="29"/>
  <c r="S255" i="29" s="1"/>
  <c r="N251" i="29"/>
  <c r="N255" i="29" s="1"/>
  <c r="U255" i="29"/>
  <c r="P251" i="29"/>
  <c r="P255" i="29" s="1"/>
  <c r="V255" i="29"/>
  <c r="H224" i="29"/>
  <c r="F224" i="29"/>
  <c r="G224" i="29"/>
  <c r="I171" i="36"/>
  <c r="K171" i="36" s="1"/>
  <c r="L171" i="36" s="1"/>
  <c r="P193" i="29"/>
  <c r="P195" i="29" s="1"/>
  <c r="P196" i="29" s="1"/>
  <c r="P198" i="29" s="1"/>
  <c r="P200" i="29" s="1"/>
  <c r="Q223" i="29"/>
  <c r="M64" i="38"/>
  <c r="Q136" i="36"/>
  <c r="Q172" i="29"/>
  <c r="K173" i="29"/>
  <c r="K188" i="29" s="1"/>
  <c r="K190" i="29" s="1"/>
  <c r="Q174" i="29"/>
  <c r="Q175" i="29"/>
  <c r="J184" i="29"/>
  <c r="Q182" i="29"/>
  <c r="J183" i="29"/>
  <c r="M193" i="29"/>
  <c r="M195" i="29" s="1"/>
  <c r="M196" i="29" s="1"/>
  <c r="M198" i="29" s="1"/>
  <c r="M200" i="29" s="1"/>
  <c r="J193" i="29"/>
  <c r="J195" i="29" s="1"/>
  <c r="O193" i="29"/>
  <c r="O195" i="29" s="1"/>
  <c r="O196" i="29" s="1"/>
  <c r="O198" i="29" s="1"/>
  <c r="O200" i="29" s="1"/>
  <c r="N18" i="1"/>
  <c r="N19" i="1"/>
  <c r="N17" i="1"/>
  <c r="N16" i="1"/>
  <c r="N15" i="1"/>
  <c r="N13" i="1"/>
  <c r="N12" i="1"/>
  <c r="N14" i="1"/>
  <c r="N25" i="1"/>
  <c r="E208" i="36" l="1"/>
  <c r="F84" i="36" s="1"/>
  <c r="F83" i="36"/>
  <c r="H208" i="36"/>
  <c r="I84" i="36" s="1"/>
  <c r="I83" i="36"/>
  <c r="Q208" i="36"/>
  <c r="F88" i="36" s="1"/>
  <c r="F6" i="43" s="1"/>
  <c r="M313" i="29"/>
  <c r="N144" i="29" s="1"/>
  <c r="N143" i="29"/>
  <c r="G313" i="29"/>
  <c r="H144" i="29" s="1"/>
  <c r="R99" i="29"/>
  <c r="Q297" i="29"/>
  <c r="Q302" i="29" s="1"/>
  <c r="Q305" i="29" s="1"/>
  <c r="Q308" i="29" s="1"/>
  <c r="Q309" i="29" s="1"/>
  <c r="Q310" i="29" s="1"/>
  <c r="Q312" i="29" s="1"/>
  <c r="K99" i="29"/>
  <c r="J297" i="29"/>
  <c r="J302" i="29" s="1"/>
  <c r="J305" i="29" s="1"/>
  <c r="J308" i="29" s="1"/>
  <c r="J309" i="29" s="1"/>
  <c r="J310" i="29" s="1"/>
  <c r="J312" i="29" s="1"/>
  <c r="L99" i="29"/>
  <c r="K297" i="29"/>
  <c r="K302" i="29" s="1"/>
  <c r="K305" i="29" s="1"/>
  <c r="K308" i="29" s="1"/>
  <c r="K309" i="29" s="1"/>
  <c r="K310" i="29" s="1"/>
  <c r="K312" i="29" s="1"/>
  <c r="M99" i="29"/>
  <c r="L297" i="29"/>
  <c r="L302" i="29" s="1"/>
  <c r="L305" i="29" s="1"/>
  <c r="L308" i="29" s="1"/>
  <c r="L309" i="29" s="1"/>
  <c r="L310" i="29" s="1"/>
  <c r="L312" i="29" s="1"/>
  <c r="F99" i="29"/>
  <c r="E297" i="29"/>
  <c r="O99" i="29"/>
  <c r="N297" i="29"/>
  <c r="N302" i="29" s="1"/>
  <c r="N305" i="29" s="1"/>
  <c r="N308" i="29" s="1"/>
  <c r="N309" i="29" s="1"/>
  <c r="N310" i="29" s="1"/>
  <c r="N312" i="29" s="1"/>
  <c r="M256" i="29"/>
  <c r="L100" i="29" s="1"/>
  <c r="G256" i="29"/>
  <c r="F100" i="29" s="1"/>
  <c r="P256" i="29"/>
  <c r="O100" i="29" s="1"/>
  <c r="U256" i="29"/>
  <c r="N256" i="29"/>
  <c r="M100" i="29" s="1"/>
  <c r="V256" i="29"/>
  <c r="S256" i="29"/>
  <c r="R100" i="29" s="1"/>
  <c r="L256" i="29"/>
  <c r="K100" i="29" s="1"/>
  <c r="T256" i="29"/>
  <c r="K251" i="29"/>
  <c r="K255" i="29" s="1"/>
  <c r="R251" i="29"/>
  <c r="R255" i="29" s="1"/>
  <c r="Q224" i="29"/>
  <c r="E228" i="29" s="1"/>
  <c r="M141" i="36"/>
  <c r="N141" i="36" s="1"/>
  <c r="P141" i="36" s="1"/>
  <c r="G25" i="36" s="1"/>
  <c r="E27" i="39" s="1"/>
  <c r="F27" i="39" s="1"/>
  <c r="P201" i="29"/>
  <c r="M171" i="36"/>
  <c r="N171" i="36" s="1"/>
  <c r="P171" i="36" s="1"/>
  <c r="G47" i="36" s="1"/>
  <c r="E30" i="39" s="1"/>
  <c r="F30" i="39" s="1"/>
  <c r="M201" i="29"/>
  <c r="O201" i="29"/>
  <c r="O25" i="1"/>
  <c r="N27" i="1"/>
  <c r="Q173" i="29"/>
  <c r="Q183" i="29"/>
  <c r="N63" i="38" s="1"/>
  <c r="N64" i="38" s="1"/>
  <c r="J185" i="29"/>
  <c r="Q185" i="29" s="1"/>
  <c r="O63" i="38" s="1"/>
  <c r="Q184" i="29"/>
  <c r="L193" i="29"/>
  <c r="L195" i="29" s="1"/>
  <c r="H193" i="29"/>
  <c r="H195" i="29" s="1"/>
  <c r="I193" i="29"/>
  <c r="I195" i="29" s="1"/>
  <c r="G193" i="29"/>
  <c r="G195" i="29" s="1"/>
  <c r="Q191" i="29"/>
  <c r="F194" i="29" s="1"/>
  <c r="F193" i="29"/>
  <c r="N193" i="29"/>
  <c r="N195" i="29" s="1"/>
  <c r="N196" i="29" s="1"/>
  <c r="N198" i="29" s="1"/>
  <c r="N200" i="29" s="1"/>
  <c r="K193" i="29"/>
  <c r="K195" i="29" s="1"/>
  <c r="J313" i="29" l="1"/>
  <c r="K144" i="29" s="1"/>
  <c r="K143" i="29"/>
  <c r="Q313" i="29"/>
  <c r="R144" i="29" s="1"/>
  <c r="R143" i="29"/>
  <c r="N313" i="29"/>
  <c r="O144" i="29" s="1"/>
  <c r="O143" i="29"/>
  <c r="L313" i="29"/>
  <c r="M144" i="29" s="1"/>
  <c r="M143" i="29"/>
  <c r="K313" i="29"/>
  <c r="L144" i="29" s="1"/>
  <c r="L143" i="29"/>
  <c r="Q99" i="29"/>
  <c r="P297" i="29"/>
  <c r="P302" i="29" s="1"/>
  <c r="P305" i="29" s="1"/>
  <c r="P308" i="29" s="1"/>
  <c r="P309" i="29" s="1"/>
  <c r="P310" i="29" s="1"/>
  <c r="P312" i="29" s="1"/>
  <c r="J99" i="29"/>
  <c r="I297" i="29"/>
  <c r="I302" i="29" s="1"/>
  <c r="I305" i="29" s="1"/>
  <c r="I308" i="29" s="1"/>
  <c r="I309" i="29" s="1"/>
  <c r="I310" i="29" s="1"/>
  <c r="R256" i="29"/>
  <c r="Q100" i="29" s="1"/>
  <c r="K256" i="29"/>
  <c r="J100" i="29" s="1"/>
  <c r="G60" i="29"/>
  <c r="G228" i="29"/>
  <c r="P172" i="36"/>
  <c r="G26" i="36"/>
  <c r="G61" i="29" s="1"/>
  <c r="G85" i="29"/>
  <c r="G48" i="36"/>
  <c r="G86" i="29" s="1"/>
  <c r="I196" i="29"/>
  <c r="I198" i="29" s="1"/>
  <c r="I200" i="29" s="1"/>
  <c r="I201" i="29" s="1"/>
  <c r="H196" i="29"/>
  <c r="H198" i="29" s="1"/>
  <c r="H200" i="29" s="1"/>
  <c r="L196" i="29"/>
  <c r="L198" i="29" s="1"/>
  <c r="L200" i="29" s="1"/>
  <c r="K196" i="29"/>
  <c r="K198" i="29" s="1"/>
  <c r="K200" i="29" s="1"/>
  <c r="G196" i="29"/>
  <c r="G198" i="29" s="1"/>
  <c r="G200" i="29" s="1"/>
  <c r="Q193" i="29"/>
  <c r="N201" i="29"/>
  <c r="O64" i="38"/>
  <c r="P64" i="38" s="1"/>
  <c r="E74" i="38" s="1"/>
  <c r="E75" i="38" s="1"/>
  <c r="E76" i="38" s="1"/>
  <c r="E77" i="38" s="1"/>
  <c r="E42" i="38" s="1"/>
  <c r="J188" i="29"/>
  <c r="J190" i="29" s="1"/>
  <c r="F195" i="29"/>
  <c r="E78" i="38" l="1"/>
  <c r="E80" i="38" s="1"/>
  <c r="G19" i="38" s="1"/>
  <c r="G20" i="38" s="1"/>
  <c r="E110" i="38"/>
  <c r="E111" i="38" s="1"/>
  <c r="E115" i="38" s="1"/>
  <c r="P313" i="29"/>
  <c r="Q144" i="29" s="1"/>
  <c r="Q143" i="29"/>
  <c r="J251" i="29"/>
  <c r="J255" i="29" s="1"/>
  <c r="Q251" i="29"/>
  <c r="Q255" i="29" s="1"/>
  <c r="I228" i="29"/>
  <c r="K228" i="29" s="1"/>
  <c r="L228" i="29" s="1"/>
  <c r="L201" i="29"/>
  <c r="G201" i="29"/>
  <c r="H201" i="29"/>
  <c r="K201" i="29"/>
  <c r="F196" i="29"/>
  <c r="Q195" i="29"/>
  <c r="E33" i="39"/>
  <c r="F33" i="39" s="1"/>
  <c r="P142" i="36"/>
  <c r="Q190" i="29"/>
  <c r="J196" i="29"/>
  <c r="J198" i="29" s="1"/>
  <c r="J200" i="29" s="1"/>
  <c r="E117" i="38" l="1"/>
  <c r="E43" i="38"/>
  <c r="F252" i="29"/>
  <c r="F255" i="29" s="1"/>
  <c r="E99" i="29" s="1"/>
  <c r="P99" i="29"/>
  <c r="O297" i="29"/>
  <c r="O302" i="29" s="1"/>
  <c r="O305" i="29" s="1"/>
  <c r="O308" i="29" s="1"/>
  <c r="O309" i="29" s="1"/>
  <c r="O310" i="29" s="1"/>
  <c r="O312" i="29" s="1"/>
  <c r="I99" i="29"/>
  <c r="H297" i="29"/>
  <c r="H302" i="29" s="1"/>
  <c r="H305" i="29" s="1"/>
  <c r="H308" i="29" s="1"/>
  <c r="H309" i="29" s="1"/>
  <c r="H310" i="29" s="1"/>
  <c r="Q256" i="29"/>
  <c r="P100" i="29" s="1"/>
  <c r="J256" i="29"/>
  <c r="I100" i="29" s="1"/>
  <c r="F197" i="29"/>
  <c r="F198" i="29" s="1"/>
  <c r="F200" i="29" s="1"/>
  <c r="M228" i="29"/>
  <c r="N228" i="29" s="1"/>
  <c r="P228" i="29" s="1"/>
  <c r="J201" i="29"/>
  <c r="E118" i="38" l="1"/>
  <c r="E119" i="38" s="1"/>
  <c r="E120" i="38" s="1"/>
  <c r="E45" i="38" s="1"/>
  <c r="F8" i="43" s="1"/>
  <c r="E44" i="38"/>
  <c r="D297" i="29"/>
  <c r="D299" i="29" s="1"/>
  <c r="W255" i="29"/>
  <c r="F256" i="29"/>
  <c r="E100" i="29" s="1"/>
  <c r="O313" i="29"/>
  <c r="P144" i="29" s="1"/>
  <c r="P143" i="29"/>
  <c r="Q198" i="29"/>
  <c r="F85" i="29"/>
  <c r="P229" i="29"/>
  <c r="Q200" i="29"/>
  <c r="F201" i="29"/>
  <c r="Q201" i="29" s="1"/>
  <c r="E206" i="29" s="1"/>
  <c r="U297" i="29" l="1"/>
  <c r="W256" i="29"/>
  <c r="F103" i="29" s="1"/>
  <c r="F147" i="29" s="1"/>
  <c r="D300" i="29"/>
  <c r="E301" i="29" s="1"/>
  <c r="E302" i="29" s="1"/>
  <c r="E305" i="29" s="1"/>
  <c r="E308" i="29" s="1"/>
  <c r="E309" i="29" s="1"/>
  <c r="D301" i="29"/>
  <c r="D302" i="29" s="1"/>
  <c r="D305" i="29" s="1"/>
  <c r="D308" i="29" s="1"/>
  <c r="E29" i="39"/>
  <c r="F47" i="36"/>
  <c r="H47" i="36" s="1"/>
  <c r="H85" i="29"/>
  <c r="F86" i="29"/>
  <c r="G206" i="29"/>
  <c r="I206" i="29" s="1"/>
  <c r="K206" i="29" s="1"/>
  <c r="L206" i="29" s="1"/>
  <c r="U308" i="29" l="1"/>
  <c r="D309" i="29"/>
  <c r="F48" i="36"/>
  <c r="H48" i="36" s="1"/>
  <c r="H86" i="29"/>
  <c r="F29" i="39"/>
  <c r="E31" i="39"/>
  <c r="F31" i="39" s="1"/>
  <c r="M206" i="29"/>
  <c r="N206" i="29" s="1"/>
  <c r="P206" i="29" s="1"/>
  <c r="P207" i="29" s="1"/>
  <c r="H311" i="29" l="1"/>
  <c r="H312" i="29" s="1"/>
  <c r="I143" i="29" s="1"/>
  <c r="I311" i="29"/>
  <c r="I312" i="29" s="1"/>
  <c r="E136" i="29"/>
  <c r="E134" i="29"/>
  <c r="F60" i="29"/>
  <c r="H313" i="29" l="1"/>
  <c r="I313" i="29"/>
  <c r="J144" i="29" s="1"/>
  <c r="J143" i="29"/>
  <c r="U312" i="29"/>
  <c r="F25" i="36"/>
  <c r="H25" i="36" s="1"/>
  <c r="E26" i="39"/>
  <c r="E28" i="39" s="1"/>
  <c r="H60" i="29"/>
  <c r="F61" i="29"/>
  <c r="U313" i="29" l="1"/>
  <c r="F148" i="29" s="1"/>
  <c r="F5" i="43" s="1"/>
  <c r="F7" i="43" s="1"/>
  <c r="F9" i="43" s="1"/>
  <c r="I144" i="29"/>
  <c r="H61" i="29"/>
  <c r="F26" i="36"/>
  <c r="H26" i="36" s="1"/>
  <c r="E35" i="39"/>
  <c r="F35" i="39" s="1"/>
  <c r="F26" i="39"/>
  <c r="F28" i="39"/>
  <c r="E32" i="39"/>
  <c r="F32" i="39" l="1"/>
  <c r="E34" i="39"/>
  <c r="F34" i="39" s="1"/>
  <c r="I68" i="41"/>
  <c r="G68" i="41"/>
  <c r="G69" i="41" s="1"/>
  <c r="I69" i="41" l="1"/>
  <c r="I70" i="41"/>
  <c r="G70" i="41"/>
  <c r="P70" i="41" s="1"/>
  <c r="D14" i="41" l="1"/>
  <c r="D15" i="41" s="1"/>
  <c r="Q70" i="41"/>
</calcChain>
</file>

<file path=xl/sharedStrings.xml><?xml version="1.0" encoding="utf-8"?>
<sst xmlns="http://schemas.openxmlformats.org/spreadsheetml/2006/main" count="2137" uniqueCount="903">
  <si>
    <t>無断熱</t>
    <rPh sb="0" eb="1">
      <t>ム</t>
    </rPh>
    <rPh sb="1" eb="3">
      <t>ダンネツ</t>
    </rPh>
    <phoneticPr fontId="1"/>
  </si>
  <si>
    <t>S55</t>
    <phoneticPr fontId="1"/>
  </si>
  <si>
    <t>H4</t>
    <phoneticPr fontId="1"/>
  </si>
  <si>
    <t>H11</t>
    <phoneticPr fontId="1"/>
  </si>
  <si>
    <t>BEI1.0</t>
    <phoneticPr fontId="1"/>
  </si>
  <si>
    <t>BEI0.85</t>
    <phoneticPr fontId="1"/>
  </si>
  <si>
    <t>BEI0.8</t>
    <phoneticPr fontId="1"/>
  </si>
  <si>
    <t>BEI0.75</t>
    <phoneticPr fontId="1"/>
  </si>
  <si>
    <t>BEI0.65</t>
    <phoneticPr fontId="1"/>
  </si>
  <si>
    <t>戸当たりの設計一次エネ消費量（2030年）</t>
    <rPh sb="0" eb="2">
      <t>コア</t>
    </rPh>
    <rPh sb="5" eb="7">
      <t>セッケイ</t>
    </rPh>
    <rPh sb="7" eb="9">
      <t>イチジ</t>
    </rPh>
    <rPh sb="11" eb="14">
      <t>ショウヒリョウ</t>
    </rPh>
    <rPh sb="19" eb="20">
      <t>ネン</t>
    </rPh>
    <phoneticPr fontId="1"/>
  </si>
  <si>
    <t>性能別ストック数（2013年）</t>
    <rPh sb="0" eb="2">
      <t>セイノウ</t>
    </rPh>
    <rPh sb="2" eb="3">
      <t>ベツ</t>
    </rPh>
    <rPh sb="7" eb="8">
      <t>スウ</t>
    </rPh>
    <rPh sb="13" eb="14">
      <t>ネン</t>
    </rPh>
    <phoneticPr fontId="1"/>
  </si>
  <si>
    <t>性能別ストック数（2030年/対策ケース）</t>
    <rPh sb="0" eb="2">
      <t>セイノウ</t>
    </rPh>
    <rPh sb="2" eb="3">
      <t>ベツ</t>
    </rPh>
    <rPh sb="7" eb="8">
      <t>スウ</t>
    </rPh>
    <rPh sb="13" eb="14">
      <t>ネン</t>
    </rPh>
    <rPh sb="15" eb="17">
      <t>タイサク</t>
    </rPh>
    <phoneticPr fontId="1"/>
  </si>
  <si>
    <t>性能の低いものから除去されると仮定</t>
    <rPh sb="0" eb="2">
      <t>セイノウ</t>
    </rPh>
    <rPh sb="3" eb="4">
      <t>ヒク</t>
    </rPh>
    <rPh sb="9" eb="11">
      <t>ジョキョ</t>
    </rPh>
    <rPh sb="15" eb="17">
      <t>カテイ</t>
    </rPh>
    <phoneticPr fontId="1"/>
  </si>
  <si>
    <t>2021年度までは実績</t>
    <rPh sb="4" eb="6">
      <t>ネンド</t>
    </rPh>
    <rPh sb="9" eb="11">
      <t>ジッセキ</t>
    </rPh>
    <phoneticPr fontId="1"/>
  </si>
  <si>
    <t>2022年度以降は25万戸/年の改修（BEI1.0）</t>
    <rPh sb="4" eb="5">
      <t>ネン</t>
    </rPh>
    <rPh sb="5" eb="6">
      <t>ド</t>
    </rPh>
    <rPh sb="6" eb="8">
      <t>イコウ</t>
    </rPh>
    <rPh sb="11" eb="13">
      <t>マンコ</t>
    </rPh>
    <rPh sb="14" eb="15">
      <t>ネン</t>
    </rPh>
    <rPh sb="16" eb="18">
      <t>カイシュウ</t>
    </rPh>
    <phoneticPr fontId="1"/>
  </si>
  <si>
    <t>性能別ストック数（2030年/BAUケース）</t>
    <rPh sb="0" eb="2">
      <t>セイノウ</t>
    </rPh>
    <rPh sb="2" eb="3">
      <t>ベツ</t>
    </rPh>
    <rPh sb="7" eb="8">
      <t>スウ</t>
    </rPh>
    <rPh sb="13" eb="14">
      <t>ネン</t>
    </rPh>
    <phoneticPr fontId="1"/>
  </si>
  <si>
    <t>原油換算省エネ量</t>
    <rPh sb="0" eb="2">
      <t>ゲンユ</t>
    </rPh>
    <rPh sb="2" eb="4">
      <t>カンサン</t>
    </rPh>
    <rPh sb="4" eb="5">
      <t>ショウ</t>
    </rPh>
    <rPh sb="7" eb="8">
      <t>リョウ</t>
    </rPh>
    <phoneticPr fontId="1"/>
  </si>
  <si>
    <t>新築戸数</t>
    <rPh sb="0" eb="2">
      <t>シンチク</t>
    </rPh>
    <rPh sb="2" eb="4">
      <t>コスウ</t>
    </rPh>
    <phoneticPr fontId="1"/>
  </si>
  <si>
    <t>2020年度までの着工数は実績値</t>
    <rPh sb="4" eb="6">
      <t>ネンド</t>
    </rPh>
    <rPh sb="9" eb="12">
      <t>チャッコウスウ</t>
    </rPh>
    <rPh sb="13" eb="16">
      <t>ジッセキチ</t>
    </rPh>
    <phoneticPr fontId="1"/>
  </si>
  <si>
    <t>2021年度の着工数は4，5月の平均を1年に拡張</t>
    <rPh sb="4" eb="6">
      <t>ネンド</t>
    </rPh>
    <rPh sb="7" eb="10">
      <t>チャッコウスウ</t>
    </rPh>
    <rPh sb="14" eb="15">
      <t>ガツ</t>
    </rPh>
    <rPh sb="16" eb="18">
      <t>ヘイキン</t>
    </rPh>
    <rPh sb="20" eb="21">
      <t>ネン</t>
    </rPh>
    <rPh sb="22" eb="24">
      <t>カクチョウ</t>
    </rPh>
    <phoneticPr fontId="1"/>
  </si>
  <si>
    <t>2022年度以降の着工数は「対策ケース：88万戸→74万戸（2030年）」「BAUケース：79万戸→67万戸（2030年）」</t>
    <rPh sb="4" eb="6">
      <t>ネンド</t>
    </rPh>
    <rPh sb="6" eb="8">
      <t>イコウ</t>
    </rPh>
    <rPh sb="9" eb="11">
      <t>チャッコウ</t>
    </rPh>
    <rPh sb="11" eb="12">
      <t>スウ</t>
    </rPh>
    <rPh sb="14" eb="16">
      <t>タイサク</t>
    </rPh>
    <rPh sb="22" eb="24">
      <t>マンコ</t>
    </rPh>
    <rPh sb="27" eb="29">
      <t>マンコ</t>
    </rPh>
    <rPh sb="34" eb="35">
      <t>ネン</t>
    </rPh>
    <rPh sb="47" eb="49">
      <t>マンコ</t>
    </rPh>
    <rPh sb="52" eb="54">
      <t>マンコ</t>
    </rPh>
    <rPh sb="59" eb="60">
      <t>ネン</t>
    </rPh>
    <phoneticPr fontId="1"/>
  </si>
  <si>
    <t>戸建てと共同の戸数比率は住宅着工統計に基づく2017年度から2019年度の平均構成比率に基づき算出</t>
    <rPh sb="0" eb="2">
      <t>コダ</t>
    </rPh>
    <rPh sb="4" eb="6">
      <t>キョウドウ</t>
    </rPh>
    <rPh sb="7" eb="9">
      <t>コスウ</t>
    </rPh>
    <rPh sb="9" eb="11">
      <t>ヒリツ</t>
    </rPh>
    <rPh sb="12" eb="14">
      <t>ジュウタク</t>
    </rPh>
    <rPh sb="14" eb="16">
      <t>チャッコウ</t>
    </rPh>
    <rPh sb="16" eb="18">
      <t>トウケイ</t>
    </rPh>
    <rPh sb="19" eb="20">
      <t>モト</t>
    </rPh>
    <rPh sb="26" eb="28">
      <t>ネンド</t>
    </rPh>
    <rPh sb="34" eb="36">
      <t>ネンド</t>
    </rPh>
    <rPh sb="37" eb="39">
      <t>ヘイキン</t>
    </rPh>
    <rPh sb="39" eb="41">
      <t>コウセイ</t>
    </rPh>
    <rPh sb="41" eb="43">
      <t>ヒリツ</t>
    </rPh>
    <rPh sb="44" eb="45">
      <t>モト</t>
    </rPh>
    <rPh sb="47" eb="49">
      <t>サンシュツ</t>
    </rPh>
    <phoneticPr fontId="1"/>
  </si>
  <si>
    <t>戸建て</t>
    <rPh sb="0" eb="2">
      <t>コダ</t>
    </rPh>
    <phoneticPr fontId="1"/>
  </si>
  <si>
    <t>共同</t>
    <rPh sb="0" eb="2">
      <t>キョウドウ</t>
    </rPh>
    <phoneticPr fontId="1"/>
  </si>
  <si>
    <t>戸建て</t>
    <rPh sb="0" eb="2">
      <t>コダ</t>
    </rPh>
    <phoneticPr fontId="1"/>
  </si>
  <si>
    <t>共同</t>
    <rPh sb="0" eb="2">
      <t>キョウドウ</t>
    </rPh>
    <phoneticPr fontId="1"/>
  </si>
  <si>
    <t>合計</t>
    <rPh sb="0" eb="2">
      <t>ゴウケイ</t>
    </rPh>
    <phoneticPr fontId="1"/>
  </si>
  <si>
    <t>S55</t>
  </si>
  <si>
    <t>H4</t>
  </si>
  <si>
    <t>H11</t>
  </si>
  <si>
    <t>BEI1.0</t>
  </si>
  <si>
    <t>BEI0.85</t>
  </si>
  <si>
    <t>BEI0.8</t>
  </si>
  <si>
    <t>BEI0.75</t>
  </si>
  <si>
    <t>BEI0.65</t>
  </si>
  <si>
    <t>2022～2030</t>
    <phoneticPr fontId="1"/>
  </si>
  <si>
    <t>2030年</t>
    <rPh sb="4" eb="5">
      <t>ネン</t>
    </rPh>
    <phoneticPr fontId="1"/>
  </si>
  <si>
    <t>着工割合（対策ケース）</t>
    <rPh sb="0" eb="2">
      <t>チャッコウ</t>
    </rPh>
    <rPh sb="2" eb="4">
      <t>ワリアイ</t>
    </rPh>
    <rPh sb="5" eb="7">
      <t>タイサク</t>
    </rPh>
    <phoneticPr fontId="1"/>
  </si>
  <si>
    <t>←国交省が何か間違えている</t>
    <rPh sb="1" eb="4">
      <t>コッコウショウ</t>
    </rPh>
    <rPh sb="5" eb="6">
      <t>ナニ</t>
    </rPh>
    <rPh sb="7" eb="9">
      <t>マチガ</t>
    </rPh>
    <phoneticPr fontId="1"/>
  </si>
  <si>
    <t>BEI0.9</t>
  </si>
  <si>
    <t>BEI0.9</t>
    <phoneticPr fontId="1"/>
  </si>
  <si>
    <t>無断熱</t>
  </si>
  <si>
    <t>差</t>
    <rPh sb="0" eb="1">
      <t>サ</t>
    </rPh>
    <phoneticPr fontId="1"/>
  </si>
  <si>
    <t>BEI0.7</t>
  </si>
  <si>
    <t>2013年ストック</t>
    <rPh sb="4" eb="5">
      <t>ネン</t>
    </rPh>
    <phoneticPr fontId="1"/>
  </si>
  <si>
    <t>2019～2030</t>
    <phoneticPr fontId="1"/>
  </si>
  <si>
    <t>2030年ストック</t>
    <rPh sb="4" eb="5">
      <t>ネン</t>
    </rPh>
    <phoneticPr fontId="1"/>
  </si>
  <si>
    <t>万戸/年</t>
    <rPh sb="0" eb="1">
      <t>マン</t>
    </rPh>
    <rPh sb="1" eb="2">
      <t>コ</t>
    </rPh>
    <rPh sb="3" eb="4">
      <t>ネン</t>
    </rPh>
    <phoneticPr fontId="1"/>
  </si>
  <si>
    <t>2019年</t>
    <rPh sb="4" eb="5">
      <t>ネン</t>
    </rPh>
    <phoneticPr fontId="1"/>
  </si>
  <si>
    <t>2020年</t>
    <rPh sb="4" eb="5">
      <t>ネン</t>
    </rPh>
    <phoneticPr fontId="1"/>
  </si>
  <si>
    <t>2021年</t>
    <rPh sb="4" eb="5">
      <t>ネン</t>
    </rPh>
    <phoneticPr fontId="1"/>
  </si>
  <si>
    <t>原油換算係数</t>
    <rPh sb="0" eb="2">
      <t>ゲンユ</t>
    </rPh>
    <rPh sb="2" eb="4">
      <t>カンサン</t>
    </rPh>
    <rPh sb="4" eb="6">
      <t>ケイスウ</t>
    </rPh>
    <phoneticPr fontId="1"/>
  </si>
  <si>
    <t>電力分</t>
    <rPh sb="0" eb="2">
      <t>デンリョク</t>
    </rPh>
    <rPh sb="2" eb="3">
      <t>ブン</t>
    </rPh>
    <phoneticPr fontId="1"/>
  </si>
  <si>
    <t>原油換算</t>
    <rPh sb="0" eb="2">
      <t>ゲンユ</t>
    </rPh>
    <rPh sb="2" eb="4">
      <t>カンサン</t>
    </rPh>
    <phoneticPr fontId="1"/>
  </si>
  <si>
    <t>換算</t>
    <rPh sb="0" eb="2">
      <t>カンサン</t>
    </rPh>
    <phoneticPr fontId="1"/>
  </si>
  <si>
    <t>BAU</t>
    <phoneticPr fontId="1"/>
  </si>
  <si>
    <t>BEI0.7</t>
    <phoneticPr fontId="1"/>
  </si>
  <si>
    <t>着工割合（BAUケース）</t>
    <rPh sb="0" eb="2">
      <t>チャッコウ</t>
    </rPh>
    <rPh sb="2" eb="4">
      <t>ワリアイ</t>
    </rPh>
    <phoneticPr fontId="1"/>
  </si>
  <si>
    <t>新築開発分</t>
    <rPh sb="0" eb="2">
      <t>シンチク</t>
    </rPh>
    <rPh sb="2" eb="4">
      <t>カイハツ</t>
    </rPh>
    <rPh sb="4" eb="5">
      <t>ブン</t>
    </rPh>
    <phoneticPr fontId="1"/>
  </si>
  <si>
    <t>対策</t>
    <rPh sb="0" eb="2">
      <t>タイサク</t>
    </rPh>
    <phoneticPr fontId="1"/>
  </si>
  <si>
    <t>非電力分</t>
    <rPh sb="0" eb="1">
      <t>ヒ</t>
    </rPh>
    <rPh sb="1" eb="3">
      <t>デンリョク</t>
    </rPh>
    <rPh sb="3" eb="4">
      <t>ブン</t>
    </rPh>
    <phoneticPr fontId="1"/>
  </si>
  <si>
    <t>最終</t>
    <rPh sb="0" eb="2">
      <t>サイシュウ</t>
    </rPh>
    <phoneticPr fontId="1"/>
  </si>
  <si>
    <t>2021以前</t>
    <rPh sb="4" eb="6">
      <t>イゼン</t>
    </rPh>
    <phoneticPr fontId="1"/>
  </si>
  <si>
    <t>2022年</t>
    <rPh sb="4" eb="5">
      <t>ネン</t>
    </rPh>
    <phoneticPr fontId="1"/>
  </si>
  <si>
    <t>2023年</t>
    <rPh sb="4" eb="5">
      <t>ネン</t>
    </rPh>
    <phoneticPr fontId="1"/>
  </si>
  <si>
    <t>2024年</t>
    <rPh sb="4" eb="5">
      <t>ネン</t>
    </rPh>
    <phoneticPr fontId="1"/>
  </si>
  <si>
    <t>2025年</t>
    <rPh sb="4" eb="5">
      <t>ネン</t>
    </rPh>
    <phoneticPr fontId="1"/>
  </si>
  <si>
    <t>2026年</t>
    <rPh sb="4" eb="5">
      <t>ネン</t>
    </rPh>
    <phoneticPr fontId="1"/>
  </si>
  <si>
    <t>2027年</t>
    <rPh sb="4" eb="5">
      <t>ネン</t>
    </rPh>
    <phoneticPr fontId="1"/>
  </si>
  <si>
    <t>2028年</t>
    <rPh sb="4" eb="5">
      <t>ネン</t>
    </rPh>
    <phoneticPr fontId="1"/>
  </si>
  <si>
    <t>2029年</t>
    <rPh sb="4" eb="5">
      <t>ネン</t>
    </rPh>
    <phoneticPr fontId="1"/>
  </si>
  <si>
    <t>割合</t>
    <rPh sb="0" eb="2">
      <t>ワリアイ</t>
    </rPh>
    <phoneticPr fontId="1"/>
  </si>
  <si>
    <t>2021年ストック</t>
    <rPh sb="4" eb="5">
      <t>ネン</t>
    </rPh>
    <phoneticPr fontId="1"/>
  </si>
  <si>
    <t>自然増減</t>
    <rPh sb="0" eb="2">
      <t>シゼン</t>
    </rPh>
    <rPh sb="2" eb="4">
      <t>ゾウゲン</t>
    </rPh>
    <phoneticPr fontId="1"/>
  </si>
  <si>
    <t>2019～2021</t>
    <phoneticPr fontId="1"/>
  </si>
  <si>
    <t>改修関連</t>
    <rPh sb="0" eb="2">
      <t>カイシュウ</t>
    </rPh>
    <rPh sb="2" eb="4">
      <t>カンレン</t>
    </rPh>
    <phoneticPr fontId="1"/>
  </si>
  <si>
    <t>パラメータ（入力項目、入力値）</t>
    <rPh sb="6" eb="8">
      <t>ニュウリョク</t>
    </rPh>
    <rPh sb="8" eb="10">
      <t>コウモク</t>
    </rPh>
    <rPh sb="11" eb="14">
      <t>ニュウリョクチ</t>
    </rPh>
    <phoneticPr fontId="1"/>
  </si>
  <si>
    <t>2025年新築割合</t>
    <rPh sb="4" eb="5">
      <t>ネン</t>
    </rPh>
    <rPh sb="5" eb="7">
      <t>シンチク</t>
    </rPh>
    <rPh sb="7" eb="9">
      <t>ワリアイ</t>
    </rPh>
    <phoneticPr fontId="1"/>
  </si>
  <si>
    <t>2030年新築割合</t>
    <rPh sb="4" eb="5">
      <t>ネン</t>
    </rPh>
    <rPh sb="5" eb="7">
      <t>シンチク</t>
    </rPh>
    <rPh sb="7" eb="9">
      <t>ワリアイ</t>
    </rPh>
    <phoneticPr fontId="1"/>
  </si>
  <si>
    <t>戸あたりの一次エネ</t>
    <rPh sb="0" eb="1">
      <t>コ</t>
    </rPh>
    <rPh sb="5" eb="7">
      <t>イチジ</t>
    </rPh>
    <phoneticPr fontId="1"/>
  </si>
  <si>
    <t>戸建て</t>
    <rPh sb="0" eb="2">
      <t>コダ</t>
    </rPh>
    <phoneticPr fontId="1"/>
  </si>
  <si>
    <t>共同</t>
    <rPh sb="0" eb="2">
      <t>キョウドウ</t>
    </rPh>
    <phoneticPr fontId="1"/>
  </si>
  <si>
    <t>戸あたり一次エネ</t>
    <rPh sb="0" eb="1">
      <t>コ</t>
    </rPh>
    <rPh sb="4" eb="6">
      <t>イチジ</t>
    </rPh>
    <phoneticPr fontId="1"/>
  </si>
  <si>
    <t>年間戸数</t>
    <rPh sb="0" eb="2">
      <t>ネンカン</t>
    </rPh>
    <rPh sb="2" eb="4">
      <t>コスウ</t>
    </rPh>
    <phoneticPr fontId="1"/>
  </si>
  <si>
    <t>2013年ストック</t>
    <rPh sb="4" eb="5">
      <t>ネン</t>
    </rPh>
    <phoneticPr fontId="1"/>
  </si>
  <si>
    <t>新築増分考慮後2021年</t>
    <rPh sb="0" eb="2">
      <t>シンチク</t>
    </rPh>
    <rPh sb="2" eb="4">
      <t>ゾウブン</t>
    </rPh>
    <rPh sb="4" eb="6">
      <t>コウリョ</t>
    </rPh>
    <rPh sb="6" eb="7">
      <t>ゴ</t>
    </rPh>
    <rPh sb="11" eb="12">
      <t>ネン</t>
    </rPh>
    <phoneticPr fontId="1"/>
  </si>
  <si>
    <t>2021年まで無断熱新築分滅失</t>
    <rPh sb="4" eb="5">
      <t>ネン</t>
    </rPh>
    <rPh sb="7" eb="8">
      <t>ム</t>
    </rPh>
    <rPh sb="8" eb="10">
      <t>ダンネツ</t>
    </rPh>
    <rPh sb="10" eb="12">
      <t>シンチク</t>
    </rPh>
    <rPh sb="12" eb="13">
      <t>ブン</t>
    </rPh>
    <rPh sb="13" eb="15">
      <t>メッシツ</t>
    </rPh>
    <phoneticPr fontId="1"/>
  </si>
  <si>
    <t>新築増分考慮後2030年</t>
    <rPh sb="0" eb="2">
      <t>シンチク</t>
    </rPh>
    <rPh sb="2" eb="4">
      <t>ゾウブン</t>
    </rPh>
    <rPh sb="4" eb="6">
      <t>コウリョ</t>
    </rPh>
    <rPh sb="6" eb="7">
      <t>ゴ</t>
    </rPh>
    <rPh sb="11" eb="12">
      <t>ネン</t>
    </rPh>
    <phoneticPr fontId="1"/>
  </si>
  <si>
    <t>自然滅失戸数</t>
    <rPh sb="0" eb="2">
      <t>シゼン</t>
    </rPh>
    <rPh sb="2" eb="4">
      <t>メッシツ</t>
    </rPh>
    <rPh sb="4" eb="6">
      <t>コスウ</t>
    </rPh>
    <phoneticPr fontId="1"/>
  </si>
  <si>
    <t>自然増減戸数</t>
    <rPh sb="0" eb="2">
      <t>シゼン</t>
    </rPh>
    <rPh sb="2" eb="4">
      <t>ゾウゲン</t>
    </rPh>
    <rPh sb="4" eb="6">
      <t>コスウ</t>
    </rPh>
    <phoneticPr fontId="1"/>
  </si>
  <si>
    <t>→開発分</t>
    <rPh sb="1" eb="3">
      <t>カイハツ</t>
    </rPh>
    <rPh sb="3" eb="4">
      <t>ブン</t>
    </rPh>
    <phoneticPr fontId="1"/>
  </si>
  <si>
    <t>2021年確定ストック（自然増減考慮なし）</t>
    <rPh sb="4" eb="5">
      <t>ネン</t>
    </rPh>
    <rPh sb="5" eb="7">
      <t>カクテイ</t>
    </rPh>
    <rPh sb="12" eb="14">
      <t>シゼン</t>
    </rPh>
    <rPh sb="14" eb="16">
      <t>ゾウゲン</t>
    </rPh>
    <rPh sb="16" eb="18">
      <t>コウリョ</t>
    </rPh>
    <phoneticPr fontId="1"/>
  </si>
  <si>
    <t>2030年ストック（自然増減考慮なし）</t>
    <rPh sb="4" eb="5">
      <t>ネン</t>
    </rPh>
    <phoneticPr fontId="1"/>
  </si>
  <si>
    <t>2030年ストック</t>
    <rPh sb="4" eb="5">
      <t>ネン</t>
    </rPh>
    <phoneticPr fontId="1"/>
  </si>
  <si>
    <t>2022年～2030年無断熱新築分滅失</t>
    <rPh sb="4" eb="5">
      <t>ネン</t>
    </rPh>
    <rPh sb="10" eb="11">
      <t>ネン</t>
    </rPh>
    <rPh sb="11" eb="12">
      <t>ム</t>
    </rPh>
    <rPh sb="12" eb="14">
      <t>ダンネツ</t>
    </rPh>
    <rPh sb="14" eb="16">
      <t>シンチク</t>
    </rPh>
    <rPh sb="16" eb="17">
      <t>ブン</t>
    </rPh>
    <rPh sb="17" eb="19">
      <t>メッシツ</t>
    </rPh>
    <phoneticPr fontId="1"/>
  </si>
  <si>
    <t>新築合計</t>
    <rPh sb="0" eb="2">
      <t>シンチク</t>
    </rPh>
    <rPh sb="2" eb="4">
      <t>ゴウケイ</t>
    </rPh>
    <phoneticPr fontId="1"/>
  </si>
  <si>
    <t>建て替え分無断熱滅失</t>
    <rPh sb="0" eb="1">
      <t>タ</t>
    </rPh>
    <rPh sb="2" eb="3">
      <t>カ</t>
    </rPh>
    <rPh sb="4" eb="5">
      <t>ブン</t>
    </rPh>
    <rPh sb="5" eb="6">
      <t>ム</t>
    </rPh>
    <rPh sb="6" eb="8">
      <t>ダンネツ</t>
    </rPh>
    <rPh sb="8" eb="10">
      <t>メッシツ</t>
    </rPh>
    <phoneticPr fontId="1"/>
  </si>
  <si>
    <t>省エネ量の計算</t>
    <rPh sb="0" eb="1">
      <t>ショウ</t>
    </rPh>
    <rPh sb="3" eb="4">
      <t>リョウ</t>
    </rPh>
    <rPh sb="5" eb="7">
      <t>ケイサン</t>
    </rPh>
    <phoneticPr fontId="1"/>
  </si>
  <si>
    <t>一次エネ合計</t>
    <rPh sb="0" eb="2">
      <t>イチジ</t>
    </rPh>
    <rPh sb="4" eb="6">
      <t>ゴウケイ</t>
    </rPh>
    <phoneticPr fontId="1"/>
  </si>
  <si>
    <t>戸建て</t>
    <rPh sb="0" eb="2">
      <t>コダ</t>
    </rPh>
    <phoneticPr fontId="1"/>
  </si>
  <si>
    <t>共同</t>
    <rPh sb="0" eb="2">
      <t>キョウドウ</t>
    </rPh>
    <phoneticPr fontId="1"/>
  </si>
  <si>
    <t>対策</t>
    <rPh sb="0" eb="2">
      <t>タイサク</t>
    </rPh>
    <phoneticPr fontId="1"/>
  </si>
  <si>
    <t>BAU</t>
    <phoneticPr fontId="1"/>
  </si>
  <si>
    <t>新築BAUケース</t>
    <rPh sb="0" eb="2">
      <t>シンチク</t>
    </rPh>
    <phoneticPr fontId="1"/>
  </si>
  <si>
    <t>差</t>
    <rPh sb="0" eb="1">
      <t>サ</t>
    </rPh>
    <phoneticPr fontId="1"/>
  </si>
  <si>
    <t>原油換算係数</t>
    <rPh sb="0" eb="2">
      <t>ゲンユ</t>
    </rPh>
    <rPh sb="2" eb="4">
      <t>カンサン</t>
    </rPh>
    <rPh sb="4" eb="6">
      <t>ケイスウ</t>
    </rPh>
    <phoneticPr fontId="1"/>
  </si>
  <si>
    <t>原油換算</t>
    <rPh sb="0" eb="2">
      <t>ゲンユ</t>
    </rPh>
    <rPh sb="2" eb="4">
      <t>カンサン</t>
    </rPh>
    <phoneticPr fontId="1"/>
  </si>
  <si>
    <t>電力分割合</t>
    <rPh sb="0" eb="2">
      <t>デンリョク</t>
    </rPh>
    <rPh sb="2" eb="3">
      <t>ブン</t>
    </rPh>
    <rPh sb="3" eb="5">
      <t>ワリアイ</t>
    </rPh>
    <phoneticPr fontId="1"/>
  </si>
  <si>
    <t>電力分</t>
    <rPh sb="0" eb="2">
      <t>デンリョク</t>
    </rPh>
    <rPh sb="2" eb="3">
      <t>ブン</t>
    </rPh>
    <phoneticPr fontId="1"/>
  </si>
  <si>
    <t>換算</t>
    <rPh sb="0" eb="2">
      <t>カンサン</t>
    </rPh>
    <phoneticPr fontId="1"/>
  </si>
  <si>
    <t>非電力分</t>
    <rPh sb="0" eb="1">
      <t>ヒ</t>
    </rPh>
    <rPh sb="1" eb="3">
      <t>デンリョク</t>
    </rPh>
    <rPh sb="3" eb="4">
      <t>ブン</t>
    </rPh>
    <phoneticPr fontId="1"/>
  </si>
  <si>
    <t>合計</t>
    <rPh sb="0" eb="2">
      <t>ゴウケイ</t>
    </rPh>
    <phoneticPr fontId="1"/>
  </si>
  <si>
    <t>実態整合係数</t>
    <rPh sb="0" eb="2">
      <t>ジッタイ</t>
    </rPh>
    <rPh sb="2" eb="4">
      <t>セイゴウ</t>
    </rPh>
    <rPh sb="4" eb="6">
      <t>ケイスウ</t>
    </rPh>
    <phoneticPr fontId="1"/>
  </si>
  <si>
    <t>最終</t>
    <rPh sb="0" eb="2">
      <t>サイシュウ</t>
    </rPh>
    <phoneticPr fontId="1"/>
  </si>
  <si>
    <t>2022年以降の改修SIMをつくる</t>
    <rPh sb="4" eb="5">
      <t>ネン</t>
    </rPh>
    <rPh sb="5" eb="7">
      <t>イコウ</t>
    </rPh>
    <rPh sb="8" eb="10">
      <t>カイシュウ</t>
    </rPh>
    <phoneticPr fontId="1"/>
  </si>
  <si>
    <t>2022年以降年あたり改修戸数</t>
    <rPh sb="4" eb="7">
      <t>ネンイコウ</t>
    </rPh>
    <rPh sb="7" eb="8">
      <t>ネン</t>
    </rPh>
    <rPh sb="11" eb="13">
      <t>カイシュウ</t>
    </rPh>
    <rPh sb="13" eb="15">
      <t>コスウ</t>
    </rPh>
    <phoneticPr fontId="1"/>
  </si>
  <si>
    <t>改修の想定</t>
    <rPh sb="0" eb="2">
      <t>カイシュウ</t>
    </rPh>
    <rPh sb="3" eb="5">
      <t>ソウテイ</t>
    </rPh>
    <phoneticPr fontId="1"/>
  </si>
  <si>
    <t>②H4より低いレベルはすべてBEI1.0に改修</t>
    <rPh sb="5" eb="6">
      <t>ヒク</t>
    </rPh>
    <rPh sb="21" eb="23">
      <t>カイシュウ</t>
    </rPh>
    <phoneticPr fontId="1"/>
  </si>
  <si>
    <t>①の場合</t>
    <rPh sb="2" eb="4">
      <t>バアイ</t>
    </rPh>
    <phoneticPr fontId="1"/>
  </si>
  <si>
    <t>戸建て改修比率</t>
    <rPh sb="0" eb="2">
      <t>コダ</t>
    </rPh>
    <rPh sb="3" eb="5">
      <t>カイシュウ</t>
    </rPh>
    <rPh sb="5" eb="7">
      <t>ヒリツ</t>
    </rPh>
    <phoneticPr fontId="1"/>
  </si>
  <si>
    <t>改修比率</t>
    <rPh sb="0" eb="2">
      <t>カイシュウ</t>
    </rPh>
    <rPh sb="2" eb="4">
      <t>ヒリツ</t>
    </rPh>
    <phoneticPr fontId="1"/>
  </si>
  <si>
    <t>影響</t>
    <rPh sb="0" eb="2">
      <t>エイキョウ</t>
    </rPh>
    <phoneticPr fontId="1"/>
  </si>
  <si>
    <t>②の場合</t>
    <rPh sb="2" eb="4">
      <t>バアイ</t>
    </rPh>
    <phoneticPr fontId="1"/>
  </si>
  <si>
    <t>①ひとつ上の性能に改修（国交省想定）</t>
    <rPh sb="4" eb="5">
      <t>ウエ</t>
    </rPh>
    <rPh sb="6" eb="8">
      <t>セイノウ</t>
    </rPh>
    <rPh sb="9" eb="11">
      <t>カイシュウ</t>
    </rPh>
    <rPh sb="12" eb="15">
      <t>コッコウショウ</t>
    </rPh>
    <rPh sb="15" eb="17">
      <t>ソウテイ</t>
    </rPh>
    <phoneticPr fontId="1"/>
  </si>
  <si>
    <t>選択</t>
    <rPh sb="0" eb="2">
      <t>センタク</t>
    </rPh>
    <phoneticPr fontId="1"/>
  </si>
  <si>
    <t>2021年まで改修影響</t>
    <rPh sb="4" eb="5">
      <t>ネン</t>
    </rPh>
    <rPh sb="7" eb="9">
      <t>カイシュウ</t>
    </rPh>
    <rPh sb="9" eb="11">
      <t>エイキョウ</t>
    </rPh>
    <phoneticPr fontId="1"/>
  </si>
  <si>
    <t>2013年ストック</t>
    <rPh sb="4" eb="5">
      <t>ネン</t>
    </rPh>
    <phoneticPr fontId="1"/>
  </si>
  <si>
    <t>戸建て</t>
    <rPh sb="0" eb="2">
      <t>コダ</t>
    </rPh>
    <phoneticPr fontId="1"/>
  </si>
  <si>
    <t>2021年ストック</t>
    <rPh sb="4" eb="5">
      <t>ネン</t>
    </rPh>
    <phoneticPr fontId="1"/>
  </si>
  <si>
    <t>共同</t>
    <rPh sb="0" eb="2">
      <t>キョウドウ</t>
    </rPh>
    <phoneticPr fontId="1"/>
  </si>
  <si>
    <t>戸あたり一次エネ</t>
    <rPh sb="0" eb="1">
      <t>コ</t>
    </rPh>
    <rPh sb="4" eb="6">
      <t>イチジ</t>
    </rPh>
    <phoneticPr fontId="1"/>
  </si>
  <si>
    <t>2030年一次エネ</t>
    <rPh sb="4" eb="5">
      <t>ネン</t>
    </rPh>
    <rPh sb="5" eb="7">
      <t>イチジ</t>
    </rPh>
    <phoneticPr fontId="1"/>
  </si>
  <si>
    <t>2022年～2030年改修影響</t>
    <rPh sb="4" eb="5">
      <t>ネン</t>
    </rPh>
    <rPh sb="10" eb="11">
      <t>ネン</t>
    </rPh>
    <rPh sb="11" eb="13">
      <t>カイシュウ</t>
    </rPh>
    <rPh sb="13" eb="15">
      <t>エイキョウ</t>
    </rPh>
    <phoneticPr fontId="1"/>
  </si>
  <si>
    <t>改修用BAUケース</t>
    <rPh sb="0" eb="3">
      <t>カイシュウヨウ</t>
    </rPh>
    <phoneticPr fontId="1"/>
  </si>
  <si>
    <t>合計</t>
    <rPh sb="0" eb="2">
      <t>ゴウケイ</t>
    </rPh>
    <phoneticPr fontId="1"/>
  </si>
  <si>
    <t>2013年～2018年までの性能別新築戸数</t>
    <rPh sb="4" eb="5">
      <t>ネン</t>
    </rPh>
    <rPh sb="10" eb="11">
      <t>ネン</t>
    </rPh>
    <rPh sb="14" eb="16">
      <t>セイノウ</t>
    </rPh>
    <rPh sb="16" eb="17">
      <t>ベツ</t>
    </rPh>
    <rPh sb="17" eb="19">
      <t>シンチク</t>
    </rPh>
    <rPh sb="19" eb="21">
      <t>コスウ</t>
    </rPh>
    <phoneticPr fontId="1"/>
  </si>
  <si>
    <t>2013年ストック</t>
    <rPh sb="4" eb="5">
      <t>ネン</t>
    </rPh>
    <phoneticPr fontId="1"/>
  </si>
  <si>
    <t>2030年ストック</t>
    <rPh sb="4" eb="5">
      <t>ネン</t>
    </rPh>
    <phoneticPr fontId="1"/>
  </si>
  <si>
    <t>戸建て</t>
    <rPh sb="0" eb="2">
      <t>コダ</t>
    </rPh>
    <phoneticPr fontId="1"/>
  </si>
  <si>
    <t>2022年以降新築戸数</t>
    <rPh sb="4" eb="5">
      <t>ネン</t>
    </rPh>
    <rPh sb="5" eb="7">
      <t>イコウ</t>
    </rPh>
    <rPh sb="7" eb="9">
      <t>シンチク</t>
    </rPh>
    <rPh sb="9" eb="11">
      <t>コスウ</t>
    </rPh>
    <phoneticPr fontId="1"/>
  </si>
  <si>
    <t>全期間改修影響</t>
    <rPh sb="0" eb="3">
      <t>ゼンキカン</t>
    </rPh>
    <rPh sb="3" eb="5">
      <t>カイシュウ</t>
    </rPh>
    <rPh sb="5" eb="7">
      <t>エイキョウ</t>
    </rPh>
    <phoneticPr fontId="1"/>
  </si>
  <si>
    <t>2021年まで改修影響</t>
    <rPh sb="4" eb="5">
      <t>ネン</t>
    </rPh>
    <rPh sb="7" eb="9">
      <t>カイシュウ</t>
    </rPh>
    <rPh sb="9" eb="11">
      <t>エイキョウ</t>
    </rPh>
    <phoneticPr fontId="1"/>
  </si>
  <si>
    <t>2022年以降改修影響</t>
    <rPh sb="4" eb="5">
      <t>ネン</t>
    </rPh>
    <rPh sb="5" eb="7">
      <t>イコウ</t>
    </rPh>
    <rPh sb="7" eb="9">
      <t>カイシュウ</t>
    </rPh>
    <rPh sb="9" eb="11">
      <t>エイキョウ</t>
    </rPh>
    <phoneticPr fontId="1"/>
  </si>
  <si>
    <t>差</t>
    <rPh sb="0" eb="1">
      <t>サ</t>
    </rPh>
    <phoneticPr fontId="1"/>
  </si>
  <si>
    <t>改修影響考慮後</t>
    <rPh sb="0" eb="2">
      <t>カイシュウ</t>
    </rPh>
    <rPh sb="2" eb="4">
      <t>エイキョウ</t>
    </rPh>
    <rPh sb="4" eb="6">
      <t>コウリョ</t>
    </rPh>
    <rPh sb="6" eb="7">
      <t>ゴ</t>
    </rPh>
    <phoneticPr fontId="1"/>
  </si>
  <si>
    <t>2021年まで新築戸数</t>
    <rPh sb="4" eb="5">
      <t>ネン</t>
    </rPh>
    <rPh sb="7" eb="9">
      <t>シンチク</t>
    </rPh>
    <rPh sb="9" eb="11">
      <t>コスウ</t>
    </rPh>
    <phoneticPr fontId="1"/>
  </si>
  <si>
    <t>共同</t>
    <rPh sb="0" eb="2">
      <t>キョウドウ</t>
    </rPh>
    <phoneticPr fontId="1"/>
  </si>
  <si>
    <t>合計</t>
    <rPh sb="0" eb="2">
      <t>ゴウケイ</t>
    </rPh>
    <phoneticPr fontId="1"/>
  </si>
  <si>
    <t>万戸</t>
    <rPh sb="0" eb="2">
      <t>マンコ</t>
    </rPh>
    <phoneticPr fontId="1"/>
  </si>
  <si>
    <t>kW</t>
    <phoneticPr fontId="1"/>
  </si>
  <si>
    <t>2030年新築戸建て戸数</t>
    <rPh sb="4" eb="5">
      <t>ネン</t>
    </rPh>
    <rPh sb="5" eb="7">
      <t>シンチク</t>
    </rPh>
    <rPh sb="7" eb="9">
      <t>コダ</t>
    </rPh>
    <rPh sb="10" eb="12">
      <t>コスウ</t>
    </rPh>
    <phoneticPr fontId="1"/>
  </si>
  <si>
    <t>万戸/年</t>
    <rPh sb="0" eb="2">
      <t>マンコ</t>
    </rPh>
    <rPh sb="3" eb="4">
      <t>ネン</t>
    </rPh>
    <phoneticPr fontId="1"/>
  </si>
  <si>
    <t>→SIMベースの初期設定</t>
    <rPh sb="8" eb="10">
      <t>ショキ</t>
    </rPh>
    <rPh sb="10" eb="12">
      <t>セッテイ</t>
    </rPh>
    <phoneticPr fontId="1"/>
  </si>
  <si>
    <t>億kWh</t>
    <rPh sb="0" eb="1">
      <t>オク</t>
    </rPh>
    <phoneticPr fontId="1"/>
  </si>
  <si>
    <t>kW/戸</t>
    <rPh sb="3" eb="4">
      <t>コ</t>
    </rPh>
    <phoneticPr fontId="1"/>
  </si>
  <si>
    <t>2021年新築太陽光設置数</t>
    <rPh sb="4" eb="5">
      <t>ネン</t>
    </rPh>
    <rPh sb="5" eb="7">
      <t>シンチク</t>
    </rPh>
    <rPh sb="7" eb="10">
      <t>タイヨウコウ</t>
    </rPh>
    <rPh sb="10" eb="12">
      <t>セッチ</t>
    </rPh>
    <rPh sb="12" eb="13">
      <t>スウ</t>
    </rPh>
    <phoneticPr fontId="1"/>
  </si>
  <si>
    <t>2021年～2030年新築太陽光設置数</t>
    <rPh sb="4" eb="5">
      <t>ネン</t>
    </rPh>
    <rPh sb="10" eb="11">
      <t>ネン</t>
    </rPh>
    <rPh sb="11" eb="13">
      <t>シンチク</t>
    </rPh>
    <rPh sb="13" eb="16">
      <t>タイヨウコウ</t>
    </rPh>
    <rPh sb="16" eb="19">
      <t>セッチスウ</t>
    </rPh>
    <phoneticPr fontId="1"/>
  </si>
  <si>
    <t>単位発電量</t>
    <rPh sb="0" eb="2">
      <t>タンイ</t>
    </rPh>
    <rPh sb="2" eb="5">
      <t>ハツデンリョウ</t>
    </rPh>
    <phoneticPr fontId="1"/>
  </si>
  <si>
    <t>kWh/kW</t>
  </si>
  <si>
    <t>万kW</t>
    <rPh sb="0" eb="1">
      <t>マン</t>
    </rPh>
    <phoneticPr fontId="1"/>
  </si>
  <si>
    <t>Q値</t>
    <rPh sb="1" eb="2">
      <t>チ</t>
    </rPh>
    <phoneticPr fontId="1"/>
  </si>
  <si>
    <t>換気熱損失</t>
    <rPh sb="0" eb="2">
      <t>カンキ</t>
    </rPh>
    <rPh sb="2" eb="5">
      <t>ネツソンシツ</t>
    </rPh>
    <phoneticPr fontId="1"/>
  </si>
  <si>
    <t>W/K</t>
    <phoneticPr fontId="1"/>
  </si>
  <si>
    <t>UA値</t>
    <rPh sb="2" eb="3">
      <t>チ</t>
    </rPh>
    <phoneticPr fontId="1"/>
  </si>
  <si>
    <t>EZ計算値</t>
    <rPh sb="2" eb="5">
      <t>ケイサンチ</t>
    </rPh>
    <phoneticPr fontId="1"/>
  </si>
  <si>
    <t>ηAC値</t>
    <rPh sb="3" eb="4">
      <t>チ</t>
    </rPh>
    <phoneticPr fontId="1"/>
  </si>
  <si>
    <t>ηAH値</t>
    <rPh sb="3" eb="4">
      <t>チ</t>
    </rPh>
    <phoneticPr fontId="1"/>
  </si>
  <si>
    <t>暖房</t>
    <rPh sb="0" eb="2">
      <t>ダンボウ</t>
    </rPh>
    <phoneticPr fontId="1"/>
  </si>
  <si>
    <t>冷房</t>
    <rPh sb="0" eb="2">
      <t>レイボウ</t>
    </rPh>
    <phoneticPr fontId="1"/>
  </si>
  <si>
    <t>換気</t>
    <rPh sb="0" eb="2">
      <t>カンキ</t>
    </rPh>
    <phoneticPr fontId="1"/>
  </si>
  <si>
    <t>給湯</t>
    <rPh sb="0" eb="2">
      <t>キュウトウ</t>
    </rPh>
    <phoneticPr fontId="1"/>
  </si>
  <si>
    <t>照明</t>
    <rPh sb="0" eb="2">
      <t>ショウメイ</t>
    </rPh>
    <phoneticPr fontId="1"/>
  </si>
  <si>
    <t>外皮のみ</t>
    <rPh sb="0" eb="2">
      <t>ガイヒ</t>
    </rPh>
    <phoneticPr fontId="1"/>
  </si>
  <si>
    <t>BEI1.0との差</t>
    <rPh sb="8" eb="9">
      <t>サ</t>
    </rPh>
    <phoneticPr fontId="1"/>
  </si>
  <si>
    <t>おそらくH4以下は外皮のみの差として計算されている</t>
    <rPh sb="6" eb="8">
      <t>イカ</t>
    </rPh>
    <rPh sb="9" eb="11">
      <t>ガイヒ</t>
    </rPh>
    <rPh sb="14" eb="15">
      <t>サ</t>
    </rPh>
    <rPh sb="18" eb="20">
      <t>ケイサン</t>
    </rPh>
    <phoneticPr fontId="1"/>
  </si>
  <si>
    <t>一般的な設備で（高効率給湯、LEDを除く）、BEI0.9以上の一次エネになる外皮性能を探す</t>
    <rPh sb="0" eb="3">
      <t>イッパンテキ</t>
    </rPh>
    <rPh sb="4" eb="6">
      <t>セツビ</t>
    </rPh>
    <rPh sb="8" eb="11">
      <t>コウコウリツ</t>
    </rPh>
    <rPh sb="11" eb="13">
      <t>キュウトウ</t>
    </rPh>
    <rPh sb="18" eb="19">
      <t>ノゾ</t>
    </rPh>
    <rPh sb="28" eb="30">
      <t>イジョウ</t>
    </rPh>
    <rPh sb="31" eb="33">
      <t>イチジ</t>
    </rPh>
    <rPh sb="38" eb="40">
      <t>ガイヒ</t>
    </rPh>
    <rPh sb="40" eb="42">
      <t>セイノウ</t>
    </rPh>
    <rPh sb="43" eb="44">
      <t>サガ</t>
    </rPh>
    <phoneticPr fontId="1"/>
  </si>
  <si>
    <t>第3種</t>
    <rPh sb="0" eb="1">
      <t>ダイ</t>
    </rPh>
    <rPh sb="2" eb="3">
      <t>シュ</t>
    </rPh>
    <phoneticPr fontId="1"/>
  </si>
  <si>
    <t>比消費電力0.03</t>
    <rPh sb="0" eb="1">
      <t>ヒ</t>
    </rPh>
    <rPh sb="1" eb="3">
      <t>ショウヒ</t>
    </rPh>
    <rPh sb="3" eb="5">
      <t>デンリョク</t>
    </rPh>
    <phoneticPr fontId="1"/>
  </si>
  <si>
    <t>給湯器を除く工夫のすべて（従来型ガス給湯器：モード熱効率78.4％）</t>
    <rPh sb="0" eb="3">
      <t>キュウトウキ</t>
    </rPh>
    <rPh sb="4" eb="5">
      <t>ノゾ</t>
    </rPh>
    <rPh sb="6" eb="8">
      <t>クフウ</t>
    </rPh>
    <rPh sb="13" eb="16">
      <t>ジュウライガタ</t>
    </rPh>
    <rPh sb="18" eb="21">
      <t>キュウトウキ</t>
    </rPh>
    <rPh sb="25" eb="26">
      <t>ネツ</t>
    </rPh>
    <rPh sb="26" eb="28">
      <t>コウリツ</t>
    </rPh>
    <phoneticPr fontId="1"/>
  </si>
  <si>
    <t>LED以外、多灯分散照明以外のすべて</t>
    <rPh sb="3" eb="5">
      <t>イガイ</t>
    </rPh>
    <rPh sb="6" eb="7">
      <t>オオ</t>
    </rPh>
    <rPh sb="7" eb="8">
      <t>トウ</t>
    </rPh>
    <rPh sb="8" eb="10">
      <t>ブンサン</t>
    </rPh>
    <rPh sb="10" eb="12">
      <t>ショウメイ</t>
    </rPh>
    <rPh sb="12" eb="14">
      <t>イガイ</t>
    </rPh>
    <phoneticPr fontId="1"/>
  </si>
  <si>
    <t>上記の設備で、外皮性能を向上させていったときの戸あたり一次エネを求める</t>
    <rPh sb="0" eb="2">
      <t>ジョウキ</t>
    </rPh>
    <rPh sb="3" eb="5">
      <t>セツビ</t>
    </rPh>
    <rPh sb="7" eb="9">
      <t>ガイヒ</t>
    </rPh>
    <rPh sb="9" eb="11">
      <t>セイノウ</t>
    </rPh>
    <rPh sb="12" eb="14">
      <t>コウジョウ</t>
    </rPh>
    <rPh sb="23" eb="24">
      <t>コ</t>
    </rPh>
    <rPh sb="27" eb="29">
      <t>イチジ</t>
    </rPh>
    <rPh sb="32" eb="33">
      <t>モト</t>
    </rPh>
    <phoneticPr fontId="1"/>
  </si>
  <si>
    <t>UA</t>
    <phoneticPr fontId="1"/>
  </si>
  <si>
    <t>※ガラスの使い分け実施</t>
    <rPh sb="5" eb="6">
      <t>ツカ</t>
    </rPh>
    <rPh sb="7" eb="8">
      <t>ワ</t>
    </rPh>
    <rPh sb="9" eb="11">
      <t>ジッシ</t>
    </rPh>
    <phoneticPr fontId="1"/>
  </si>
  <si>
    <t>※すべて遮蔽型</t>
    <rPh sb="4" eb="6">
      <t>シャヘイ</t>
    </rPh>
    <rPh sb="6" eb="7">
      <t>ガタ</t>
    </rPh>
    <phoneticPr fontId="1"/>
  </si>
  <si>
    <t>一次エネ</t>
    <rPh sb="0" eb="2">
      <t>イチジ</t>
    </rPh>
    <phoneticPr fontId="1"/>
  </si>
  <si>
    <t>BEI0.75以上はこれ以上の省エネ設備を入れる必要がある</t>
    <rPh sb="7" eb="9">
      <t>イジョウ</t>
    </rPh>
    <rPh sb="12" eb="14">
      <t>イジョウ</t>
    </rPh>
    <rPh sb="15" eb="16">
      <t>ショウ</t>
    </rPh>
    <rPh sb="18" eb="20">
      <t>セツビ</t>
    </rPh>
    <rPh sb="21" eb="22">
      <t>イ</t>
    </rPh>
    <rPh sb="24" eb="26">
      <t>ヒツヨウ</t>
    </rPh>
    <phoneticPr fontId="1"/>
  </si>
  <si>
    <t>UA＝0.6にした場合の差</t>
    <rPh sb="9" eb="11">
      <t>バアイ</t>
    </rPh>
    <rPh sb="12" eb="13">
      <t>サ</t>
    </rPh>
    <phoneticPr fontId="1"/>
  </si>
  <si>
    <t>BEI0.65はこれ以上の省エネ設備を入れる必要がある</t>
    <rPh sb="10" eb="12">
      <t>イジョウ</t>
    </rPh>
    <rPh sb="13" eb="14">
      <t>ショウ</t>
    </rPh>
    <rPh sb="16" eb="18">
      <t>セツビ</t>
    </rPh>
    <rPh sb="19" eb="20">
      <t>イ</t>
    </rPh>
    <rPh sb="22" eb="24">
      <t>ヒツヨウ</t>
    </rPh>
    <phoneticPr fontId="1"/>
  </si>
  <si>
    <t>BEIレベル</t>
    <phoneticPr fontId="1"/>
  </si>
  <si>
    <t>→BEI0.65には届かない。ハイブリッド給湯器にするしかない。</t>
    <rPh sb="10" eb="11">
      <t>トド</t>
    </rPh>
    <rPh sb="21" eb="24">
      <t>キュウトウキ</t>
    </rPh>
    <phoneticPr fontId="1"/>
  </si>
  <si>
    <t>各BEIレベルの想定整理</t>
    <rPh sb="0" eb="1">
      <t>カク</t>
    </rPh>
    <rPh sb="8" eb="10">
      <t>ソウテイ</t>
    </rPh>
    <rPh sb="10" eb="12">
      <t>セイリ</t>
    </rPh>
    <phoneticPr fontId="1"/>
  </si>
  <si>
    <t>熱交換OK</t>
    <rPh sb="0" eb="1">
      <t>ネツ</t>
    </rPh>
    <rPh sb="1" eb="3">
      <t>コウカン</t>
    </rPh>
    <phoneticPr fontId="1"/>
  </si>
  <si>
    <t>上記</t>
    <rPh sb="0" eb="2">
      <t>ジョウキ</t>
    </rPh>
    <phoneticPr fontId="1"/>
  </si>
  <si>
    <t>熱交換不可</t>
    <rPh sb="0" eb="1">
      <t>ネツ</t>
    </rPh>
    <rPh sb="1" eb="3">
      <t>コウカン</t>
    </rPh>
    <rPh sb="3" eb="5">
      <t>フカ</t>
    </rPh>
    <phoneticPr fontId="1"/>
  </si>
  <si>
    <t>ハイブリッド</t>
    <phoneticPr fontId="1"/>
  </si>
  <si>
    <t>熱交換</t>
    <rPh sb="0" eb="1">
      <t>ネツ</t>
    </rPh>
    <rPh sb="1" eb="3">
      <t>コウカン</t>
    </rPh>
    <phoneticPr fontId="1"/>
  </si>
  <si>
    <t>BEI</t>
    <phoneticPr fontId="1"/>
  </si>
  <si>
    <t>BEI判断</t>
    <rPh sb="3" eb="5">
      <t>ハンダン</t>
    </rPh>
    <phoneticPr fontId="1"/>
  </si>
  <si>
    <t>全館空調の戸あたり一次エネ</t>
    <rPh sb="0" eb="2">
      <t>ゼンカン</t>
    </rPh>
    <rPh sb="2" eb="4">
      <t>クウチョウ</t>
    </rPh>
    <rPh sb="5" eb="6">
      <t>コ</t>
    </rPh>
    <rPh sb="9" eb="11">
      <t>イチジ</t>
    </rPh>
    <phoneticPr fontId="1"/>
  </si>
  <si>
    <t>％</t>
    <phoneticPr fontId="1"/>
  </si>
  <si>
    <t>2030年新築設置比率</t>
    <rPh sb="4" eb="5">
      <t>ネン</t>
    </rPh>
    <rPh sb="5" eb="7">
      <t>シンチク</t>
    </rPh>
    <rPh sb="7" eb="9">
      <t>セッチ</t>
    </rPh>
    <rPh sb="9" eb="11">
      <t>ヒリツ</t>
    </rPh>
    <phoneticPr fontId="1"/>
  </si>
  <si>
    <t>2030年新築戸数</t>
    <rPh sb="4" eb="5">
      <t>ネン</t>
    </rPh>
    <rPh sb="5" eb="7">
      <t>シンチク</t>
    </rPh>
    <rPh sb="7" eb="9">
      <t>コスウ</t>
    </rPh>
    <phoneticPr fontId="1"/>
  </si>
  <si>
    <t>2030年新築PV設置数</t>
    <rPh sb="4" eb="5">
      <t>ネン</t>
    </rPh>
    <rPh sb="5" eb="7">
      <t>シンチク</t>
    </rPh>
    <rPh sb="9" eb="12">
      <t>セッチスウ</t>
    </rPh>
    <phoneticPr fontId="1"/>
  </si>
  <si>
    <t>2021年～2030年新築太陽光平均設置数</t>
    <rPh sb="4" eb="5">
      <t>ネン</t>
    </rPh>
    <rPh sb="10" eb="11">
      <t>ネン</t>
    </rPh>
    <rPh sb="11" eb="13">
      <t>シンチク</t>
    </rPh>
    <rPh sb="13" eb="16">
      <t>タイヨウコウ</t>
    </rPh>
    <rPh sb="16" eb="18">
      <t>ヘイキン</t>
    </rPh>
    <rPh sb="18" eb="21">
      <t>セッチスウ</t>
    </rPh>
    <phoneticPr fontId="1"/>
  </si>
  <si>
    <t>戸あたり設置容量</t>
    <rPh sb="0" eb="1">
      <t>コ</t>
    </rPh>
    <rPh sb="4" eb="6">
      <t>セッチ</t>
    </rPh>
    <rPh sb="6" eb="8">
      <t>ヨウリョウ</t>
    </rPh>
    <phoneticPr fontId="1"/>
  </si>
  <si>
    <t>2021年～2030年新築太陽光設置容量</t>
    <rPh sb="4" eb="5">
      <t>ネン</t>
    </rPh>
    <rPh sb="10" eb="11">
      <t>ネン</t>
    </rPh>
    <rPh sb="11" eb="13">
      <t>シンチク</t>
    </rPh>
    <rPh sb="13" eb="16">
      <t>タイヨウコウ</t>
    </rPh>
    <rPh sb="16" eb="18">
      <t>セッチ</t>
    </rPh>
    <rPh sb="18" eb="20">
      <t>ヨウリョウ</t>
    </rPh>
    <phoneticPr fontId="1"/>
  </si>
  <si>
    <t>万kWh</t>
    <rPh sb="0" eb="1">
      <t>マン</t>
    </rPh>
    <phoneticPr fontId="1"/>
  </si>
  <si>
    <t>2021年～2030年新築太陽光発電量</t>
    <rPh sb="4" eb="5">
      <t>ネン</t>
    </rPh>
    <rPh sb="10" eb="11">
      <t>ネン</t>
    </rPh>
    <rPh sb="11" eb="13">
      <t>シンチク</t>
    </rPh>
    <rPh sb="13" eb="16">
      <t>タイヨウコウ</t>
    </rPh>
    <rPh sb="16" eb="18">
      <t>ハツデン</t>
    </rPh>
    <rPh sb="18" eb="19">
      <t>リョウ</t>
    </rPh>
    <phoneticPr fontId="1"/>
  </si>
  <si>
    <t>kL/GJ</t>
    <phoneticPr fontId="1"/>
  </si>
  <si>
    <t>L/kWh</t>
    <phoneticPr fontId="1"/>
  </si>
  <si>
    <t>原油換算量</t>
    <rPh sb="0" eb="2">
      <t>ゲンユ</t>
    </rPh>
    <rPh sb="2" eb="5">
      <t>カンサンリョウ</t>
    </rPh>
    <phoneticPr fontId="1"/>
  </si>
  <si>
    <t>万kL</t>
    <rPh sb="0" eb="1">
      <t>マン</t>
    </rPh>
    <phoneticPr fontId="1"/>
  </si>
  <si>
    <t>義務化設定年</t>
    <rPh sb="0" eb="3">
      <t>ギムカ</t>
    </rPh>
    <rPh sb="3" eb="5">
      <t>セッテイ</t>
    </rPh>
    <rPh sb="5" eb="6">
      <t>ネン</t>
    </rPh>
    <phoneticPr fontId="1"/>
  </si>
  <si>
    <t>年</t>
    <rPh sb="0" eb="1">
      <t>ネン</t>
    </rPh>
    <phoneticPr fontId="1"/>
  </si>
  <si>
    <t>設定年までの年数</t>
    <rPh sb="0" eb="2">
      <t>セッテイ</t>
    </rPh>
    <rPh sb="2" eb="3">
      <t>ネン</t>
    </rPh>
    <rPh sb="6" eb="8">
      <t>ネンスウ</t>
    </rPh>
    <phoneticPr fontId="1"/>
  </si>
  <si>
    <t>設定年の割合</t>
    <rPh sb="0" eb="2">
      <t>セッテイ</t>
    </rPh>
    <rPh sb="2" eb="3">
      <t>ネン</t>
    </rPh>
    <rPh sb="4" eb="6">
      <t>ワリアイ</t>
    </rPh>
    <phoneticPr fontId="1"/>
  </si>
  <si>
    <t>設定年の新築戸数</t>
    <rPh sb="0" eb="2">
      <t>セッテイ</t>
    </rPh>
    <rPh sb="2" eb="3">
      <t>ネン</t>
    </rPh>
    <rPh sb="4" eb="6">
      <t>シンチク</t>
    </rPh>
    <rPh sb="6" eb="8">
      <t>コスウ</t>
    </rPh>
    <phoneticPr fontId="1"/>
  </si>
  <si>
    <t>国交省</t>
    <rPh sb="0" eb="3">
      <t>コッコウショウ</t>
    </rPh>
    <phoneticPr fontId="1"/>
  </si>
  <si>
    <t>設定年のPV設置数</t>
    <rPh sb="0" eb="2">
      <t>セッテイ</t>
    </rPh>
    <rPh sb="2" eb="3">
      <t>ネン</t>
    </rPh>
    <rPh sb="6" eb="9">
      <t>セッチスウ</t>
    </rPh>
    <phoneticPr fontId="1"/>
  </si>
  <si>
    <t>設定年までの新築太陽光平均設置数</t>
    <rPh sb="0" eb="2">
      <t>セッテイ</t>
    </rPh>
    <rPh sb="2" eb="3">
      <t>ネン</t>
    </rPh>
    <rPh sb="6" eb="8">
      <t>シンチク</t>
    </rPh>
    <rPh sb="8" eb="11">
      <t>タイヨウコウ</t>
    </rPh>
    <rPh sb="11" eb="13">
      <t>ヘイキン</t>
    </rPh>
    <rPh sb="13" eb="15">
      <t>セッチ</t>
    </rPh>
    <rPh sb="15" eb="16">
      <t>スウ</t>
    </rPh>
    <phoneticPr fontId="1"/>
  </si>
  <si>
    <t>設定年までの新築太陽光設置数</t>
    <rPh sb="0" eb="2">
      <t>セッテイ</t>
    </rPh>
    <rPh sb="2" eb="3">
      <t>ネン</t>
    </rPh>
    <rPh sb="6" eb="8">
      <t>シンチク</t>
    </rPh>
    <rPh sb="8" eb="11">
      <t>タイヨウコウ</t>
    </rPh>
    <rPh sb="11" eb="13">
      <t>セッチ</t>
    </rPh>
    <rPh sb="13" eb="14">
      <t>スウ</t>
    </rPh>
    <phoneticPr fontId="1"/>
  </si>
  <si>
    <t>累計</t>
    <rPh sb="0" eb="2">
      <t>ルイケイ</t>
    </rPh>
    <phoneticPr fontId="1"/>
  </si>
  <si>
    <t>設定年までの新築戸数</t>
    <rPh sb="0" eb="2">
      <t>セッテイ</t>
    </rPh>
    <rPh sb="2" eb="3">
      <t>ネン</t>
    </rPh>
    <rPh sb="6" eb="8">
      <t>シンチク</t>
    </rPh>
    <rPh sb="8" eb="10">
      <t>コスウ</t>
    </rPh>
    <phoneticPr fontId="1"/>
  </si>
  <si>
    <t>設定年以降の新築戸数</t>
    <rPh sb="0" eb="2">
      <t>セッテイ</t>
    </rPh>
    <rPh sb="2" eb="3">
      <t>ネン</t>
    </rPh>
    <rPh sb="3" eb="5">
      <t>イコウ</t>
    </rPh>
    <rPh sb="6" eb="8">
      <t>シンチク</t>
    </rPh>
    <rPh sb="8" eb="10">
      <t>コスウ</t>
    </rPh>
    <phoneticPr fontId="1"/>
  </si>
  <si>
    <t>設定年以降の新築太陽光設置数</t>
    <rPh sb="0" eb="2">
      <t>セッテイ</t>
    </rPh>
    <rPh sb="2" eb="3">
      <t>ネン</t>
    </rPh>
    <rPh sb="3" eb="5">
      <t>イコウ</t>
    </rPh>
    <rPh sb="6" eb="8">
      <t>シンチク</t>
    </rPh>
    <rPh sb="8" eb="11">
      <t>タイヨウコウ</t>
    </rPh>
    <rPh sb="11" eb="13">
      <t>セッチ</t>
    </rPh>
    <rPh sb="13" eb="14">
      <t>スウ</t>
    </rPh>
    <phoneticPr fontId="1"/>
  </si>
  <si>
    <t>暖房（修正後）</t>
    <rPh sb="0" eb="2">
      <t>ダンボウ</t>
    </rPh>
    <rPh sb="3" eb="6">
      <t>シュウセイゴ</t>
    </rPh>
    <phoneticPr fontId="1"/>
  </si>
  <si>
    <t>冷房（修正後）</t>
    <rPh sb="0" eb="2">
      <t>レイボウ</t>
    </rPh>
    <rPh sb="3" eb="6">
      <t>シュウセイゴ</t>
    </rPh>
    <phoneticPr fontId="1"/>
  </si>
  <si>
    <t>一次エネ（修正後）</t>
    <rPh sb="0" eb="2">
      <t>イチジ</t>
    </rPh>
    <rPh sb="5" eb="8">
      <t>シュウセイゴ</t>
    </rPh>
    <phoneticPr fontId="1"/>
  </si>
  <si>
    <t>暖冷房以外</t>
    <rPh sb="0" eb="3">
      <t>ダンレイボウ</t>
    </rPh>
    <rPh sb="3" eb="5">
      <t>イガイ</t>
    </rPh>
    <phoneticPr fontId="1"/>
  </si>
  <si>
    <t>入力イメージを想定する</t>
    <rPh sb="0" eb="2">
      <t>ニュウリョク</t>
    </rPh>
    <rPh sb="7" eb="9">
      <t>ソウテイ</t>
    </rPh>
    <phoneticPr fontId="1"/>
  </si>
  <si>
    <t>←上記想定（熱交換なし）</t>
    <rPh sb="1" eb="3">
      <t>ジョウキ</t>
    </rPh>
    <rPh sb="3" eb="5">
      <t>ソウテイ</t>
    </rPh>
    <rPh sb="6" eb="7">
      <t>ネツ</t>
    </rPh>
    <rPh sb="7" eb="9">
      <t>コウカン</t>
    </rPh>
    <phoneticPr fontId="1"/>
  </si>
  <si>
    <t>居室間欠</t>
    <rPh sb="0" eb="2">
      <t>キョシツ</t>
    </rPh>
    <rPh sb="2" eb="4">
      <t>カンケツ</t>
    </rPh>
    <phoneticPr fontId="1"/>
  </si>
  <si>
    <t>標準</t>
    <rPh sb="0" eb="2">
      <t>ヒョウジュン</t>
    </rPh>
    <phoneticPr fontId="1"/>
  </si>
  <si>
    <t>エネSIM</t>
    <phoneticPr fontId="1"/>
  </si>
  <si>
    <t>その他</t>
    <rPh sb="2" eb="3">
      <t>タ</t>
    </rPh>
    <phoneticPr fontId="1"/>
  </si>
  <si>
    <t>①典型的な組み合わせの一覧をつくり、入力者にそれを選択してもらう（5つまで）</t>
    <rPh sb="1" eb="4">
      <t>テンケイテキ</t>
    </rPh>
    <rPh sb="5" eb="6">
      <t>ク</t>
    </rPh>
    <rPh sb="7" eb="8">
      <t>ア</t>
    </rPh>
    <rPh sb="11" eb="13">
      <t>イチラン</t>
    </rPh>
    <rPh sb="18" eb="20">
      <t>ニュウリョク</t>
    </rPh>
    <rPh sb="20" eb="21">
      <t>シャ</t>
    </rPh>
    <rPh sb="25" eb="27">
      <t>センタク</t>
    </rPh>
    <phoneticPr fontId="1"/>
  </si>
  <si>
    <t>②次に、その性能レベル別の2025年と2030年それぞれの新築割合を設定してもらう</t>
    <rPh sb="1" eb="2">
      <t>ツギ</t>
    </rPh>
    <rPh sb="6" eb="8">
      <t>セイノウ</t>
    </rPh>
    <rPh sb="11" eb="12">
      <t>ベツ</t>
    </rPh>
    <rPh sb="17" eb="18">
      <t>ネン</t>
    </rPh>
    <rPh sb="23" eb="24">
      <t>ネン</t>
    </rPh>
    <rPh sb="29" eb="31">
      <t>シンチク</t>
    </rPh>
    <rPh sb="31" eb="33">
      <t>ワリアイ</t>
    </rPh>
    <rPh sb="34" eb="36">
      <t>セッテイ</t>
    </rPh>
    <phoneticPr fontId="1"/>
  </si>
  <si>
    <t>暖冷房方法</t>
    <rPh sb="0" eb="3">
      <t>ダンレイボウ</t>
    </rPh>
    <rPh sb="3" eb="5">
      <t>ホウホウ</t>
    </rPh>
    <phoneticPr fontId="1"/>
  </si>
  <si>
    <t>全館連続</t>
    <rPh sb="0" eb="2">
      <t>ゼンカン</t>
    </rPh>
    <rPh sb="2" eb="4">
      <t>レンゾク</t>
    </rPh>
    <phoneticPr fontId="1"/>
  </si>
  <si>
    <t>第3種</t>
    <rPh sb="0" eb="1">
      <t>ダイ</t>
    </rPh>
    <rPh sb="2" eb="3">
      <t>シュ</t>
    </rPh>
    <phoneticPr fontId="1"/>
  </si>
  <si>
    <t>熱交換</t>
    <rPh sb="0" eb="1">
      <t>ネツ</t>
    </rPh>
    <rPh sb="1" eb="3">
      <t>コウカン</t>
    </rPh>
    <phoneticPr fontId="1"/>
  </si>
  <si>
    <t>※熱交換は効率85％</t>
    <rPh sb="1" eb="2">
      <t>ネツ</t>
    </rPh>
    <rPh sb="2" eb="4">
      <t>コウカン</t>
    </rPh>
    <rPh sb="5" eb="7">
      <t>コウリツ</t>
    </rPh>
    <phoneticPr fontId="1"/>
  </si>
  <si>
    <t>HV</t>
    <phoneticPr fontId="1"/>
  </si>
  <si>
    <t>PJ</t>
    <phoneticPr fontId="1"/>
  </si>
  <si>
    <t>総合エネルギー統計（家庭部門）</t>
    <rPh sb="0" eb="2">
      <t>ソウゴウ</t>
    </rPh>
    <rPh sb="7" eb="9">
      <t>トウケイ</t>
    </rPh>
    <rPh sb="10" eb="12">
      <t>カテイ</t>
    </rPh>
    <rPh sb="12" eb="14">
      <t>ブモン</t>
    </rPh>
    <phoneticPr fontId="1"/>
  </si>
  <si>
    <t>家庭部門電力消費量</t>
    <rPh sb="0" eb="2">
      <t>カテイ</t>
    </rPh>
    <rPh sb="2" eb="4">
      <t>ブモン</t>
    </rPh>
    <rPh sb="4" eb="6">
      <t>デンリョク</t>
    </rPh>
    <rPh sb="6" eb="9">
      <t>ショウヒリョウ</t>
    </rPh>
    <phoneticPr fontId="1"/>
  </si>
  <si>
    <t>2015年：2013年から6.2%減</t>
    <rPh sb="4" eb="5">
      <t>ネン</t>
    </rPh>
    <rPh sb="10" eb="11">
      <t>ネン</t>
    </rPh>
    <rPh sb="17" eb="18">
      <t>ゲン</t>
    </rPh>
    <phoneticPr fontId="1"/>
  </si>
  <si>
    <t>2013年</t>
    <rPh sb="4" eb="5">
      <t>ネン</t>
    </rPh>
    <phoneticPr fontId="1"/>
  </si>
  <si>
    <t>二次エネ換算</t>
    <rPh sb="0" eb="2">
      <t>ニジ</t>
    </rPh>
    <rPh sb="4" eb="6">
      <t>カンサン</t>
    </rPh>
    <phoneticPr fontId="1"/>
  </si>
  <si>
    <t>億MJ</t>
    <rPh sb="0" eb="1">
      <t>オク</t>
    </rPh>
    <phoneticPr fontId="1"/>
  </si>
  <si>
    <t>一次エネ換算</t>
    <rPh sb="0" eb="2">
      <t>イチジ</t>
    </rPh>
    <rPh sb="4" eb="6">
      <t>カンサン</t>
    </rPh>
    <phoneticPr fontId="1"/>
  </si>
  <si>
    <t>電力以外（二次＝一次）</t>
    <rPh sb="0" eb="2">
      <t>デンリョク</t>
    </rPh>
    <rPh sb="2" eb="4">
      <t>イガイ</t>
    </rPh>
    <rPh sb="5" eb="7">
      <t>ニジ</t>
    </rPh>
    <rPh sb="8" eb="10">
      <t>イチジ</t>
    </rPh>
    <phoneticPr fontId="1"/>
  </si>
  <si>
    <t>よくわからないが、気にせず進む</t>
    <rPh sb="9" eb="10">
      <t>キ</t>
    </rPh>
    <rPh sb="13" eb="14">
      <t>スス</t>
    </rPh>
    <phoneticPr fontId="1"/>
  </si>
  <si>
    <t>実際の全館空調のデータ</t>
    <rPh sb="0" eb="2">
      <t>ジッサイ</t>
    </rPh>
    <rPh sb="3" eb="5">
      <t>ゼンカン</t>
    </rPh>
    <rPh sb="5" eb="7">
      <t>クウチョウ</t>
    </rPh>
    <phoneticPr fontId="1"/>
  </si>
  <si>
    <t>Ｚ空調</t>
    <rPh sb="1" eb="3">
      <t>クウチョウ</t>
    </rPh>
    <phoneticPr fontId="1"/>
  </si>
  <si>
    <t>4～6地域</t>
    <rPh sb="3" eb="5">
      <t>チイキ</t>
    </rPh>
    <phoneticPr fontId="1"/>
  </si>
  <si>
    <t>UA値等は不明</t>
    <rPh sb="2" eb="3">
      <t>チ</t>
    </rPh>
    <rPh sb="3" eb="4">
      <t>トウ</t>
    </rPh>
    <rPh sb="5" eb="7">
      <t>フメイ</t>
    </rPh>
    <phoneticPr fontId="1"/>
  </si>
  <si>
    <t>年間電力消費量（平均）</t>
    <rPh sb="0" eb="2">
      <t>ネンカン</t>
    </rPh>
    <rPh sb="2" eb="4">
      <t>デンリョク</t>
    </rPh>
    <rPh sb="4" eb="7">
      <t>ショウヒリョウ</t>
    </rPh>
    <rPh sb="8" eb="10">
      <t>ヘイキン</t>
    </rPh>
    <phoneticPr fontId="1"/>
  </si>
  <si>
    <t>kWh</t>
    <phoneticPr fontId="1"/>
  </si>
  <si>
    <t>一次エネ</t>
    <rPh sb="0" eb="2">
      <t>イチジ</t>
    </rPh>
    <phoneticPr fontId="1"/>
  </si>
  <si>
    <t>MJ</t>
    <phoneticPr fontId="1"/>
  </si>
  <si>
    <t>比率</t>
    <rPh sb="0" eb="2">
      <t>ヒリツ</t>
    </rPh>
    <phoneticPr fontId="1"/>
  </si>
  <si>
    <t>OMX</t>
    <phoneticPr fontId="1"/>
  </si>
  <si>
    <t>暖房</t>
    <rPh sb="0" eb="2">
      <t>ダンボウ</t>
    </rPh>
    <phoneticPr fontId="1"/>
  </si>
  <si>
    <t>冷房</t>
    <rPh sb="0" eb="2">
      <t>レイボウ</t>
    </rPh>
    <phoneticPr fontId="1"/>
  </si>
  <si>
    <t>ホームズ君</t>
    <rPh sb="4" eb="5">
      <t>クン</t>
    </rPh>
    <phoneticPr fontId="1"/>
  </si>
  <si>
    <t>エネSIM入力（UA＝0.56）</t>
    <rPh sb="5" eb="7">
      <t>ニュウリョク</t>
    </rPh>
    <phoneticPr fontId="1"/>
  </si>
  <si>
    <t>UA＝0.6の全館空調計算値</t>
    <rPh sb="7" eb="9">
      <t>ゼンカン</t>
    </rPh>
    <rPh sb="9" eb="11">
      <t>クウチョウ</t>
    </rPh>
    <rPh sb="11" eb="14">
      <t>ケイサンチ</t>
    </rPh>
    <phoneticPr fontId="1"/>
  </si>
  <si>
    <t>UA＝0.56の全館空調計算値</t>
    <rPh sb="8" eb="10">
      <t>ゼンカン</t>
    </rPh>
    <rPh sb="10" eb="12">
      <t>クウチョウ</t>
    </rPh>
    <rPh sb="12" eb="15">
      <t>ケイサンチ</t>
    </rPh>
    <phoneticPr fontId="1"/>
  </si>
  <si>
    <t>比率</t>
    <rPh sb="0" eb="2">
      <t>ヒリツ</t>
    </rPh>
    <phoneticPr fontId="1"/>
  </si>
  <si>
    <t>UA</t>
  </si>
  <si>
    <t>一次エネ基準値</t>
    <rPh sb="0" eb="2">
      <t>イチジ</t>
    </rPh>
    <rPh sb="4" eb="7">
      <t>キジュンチ</t>
    </rPh>
    <phoneticPr fontId="1"/>
  </si>
  <si>
    <t>全館空調の補正係数</t>
    <rPh sb="0" eb="2">
      <t>ゼンカン</t>
    </rPh>
    <rPh sb="2" eb="4">
      <t>クウチョウ</t>
    </rPh>
    <rPh sb="5" eb="7">
      <t>ホセイ</t>
    </rPh>
    <rPh sb="7" eb="9">
      <t>ケイスウ</t>
    </rPh>
    <phoneticPr fontId="1"/>
  </si>
  <si>
    <t>換気方法</t>
    <rPh sb="0" eb="2">
      <t>カンキ</t>
    </rPh>
    <rPh sb="2" eb="4">
      <t>ホウホウ</t>
    </rPh>
    <phoneticPr fontId="1"/>
  </si>
  <si>
    <t>第3種</t>
    <rPh sb="0" eb="1">
      <t>ダイ</t>
    </rPh>
    <rPh sb="2" eb="3">
      <t>シュ</t>
    </rPh>
    <phoneticPr fontId="1"/>
  </si>
  <si>
    <t>給湯器</t>
    <rPh sb="0" eb="3">
      <t>キュウトウキ</t>
    </rPh>
    <phoneticPr fontId="1"/>
  </si>
  <si>
    <t>標準</t>
    <rPh sb="0" eb="2">
      <t>ヒョウジュン</t>
    </rPh>
    <phoneticPr fontId="1"/>
  </si>
  <si>
    <t>熱交換</t>
    <rPh sb="0" eb="1">
      <t>ネツ</t>
    </rPh>
    <rPh sb="1" eb="3">
      <t>コウカン</t>
    </rPh>
    <phoneticPr fontId="1"/>
  </si>
  <si>
    <t>ハイブリッド</t>
    <phoneticPr fontId="1"/>
  </si>
  <si>
    <t>全館空調補正</t>
    <rPh sb="0" eb="2">
      <t>ゼンカン</t>
    </rPh>
    <rPh sb="2" eb="4">
      <t>クウチョウ</t>
    </rPh>
    <rPh sb="4" eb="6">
      <t>ホセイ</t>
    </rPh>
    <phoneticPr fontId="1"/>
  </si>
  <si>
    <t>なし</t>
    <phoneticPr fontId="1"/>
  </si>
  <si>
    <t>あり</t>
    <phoneticPr fontId="1"/>
  </si>
  <si>
    <t>UA値</t>
    <rPh sb="2" eb="3">
      <t>チ</t>
    </rPh>
    <phoneticPr fontId="1"/>
  </si>
  <si>
    <t>プルダウンメニュー用</t>
    <rPh sb="9" eb="10">
      <t>ヨウ</t>
    </rPh>
    <phoneticPr fontId="1"/>
  </si>
  <si>
    <t>暖冷房方法</t>
    <rPh sb="0" eb="3">
      <t>ダンレイボウ</t>
    </rPh>
    <rPh sb="3" eb="5">
      <t>ホウホウ</t>
    </rPh>
    <phoneticPr fontId="1"/>
  </si>
  <si>
    <t>居室間欠</t>
    <rPh sb="0" eb="2">
      <t>キョシツ</t>
    </rPh>
    <rPh sb="2" eb="4">
      <t>カンケツ</t>
    </rPh>
    <phoneticPr fontId="1"/>
  </si>
  <si>
    <t>全館連続補正</t>
    <rPh sb="0" eb="2">
      <t>ゼンカン</t>
    </rPh>
    <rPh sb="2" eb="4">
      <t>レンゾク</t>
    </rPh>
    <rPh sb="4" eb="6">
      <t>ホセイ</t>
    </rPh>
    <phoneticPr fontId="1"/>
  </si>
  <si>
    <t>あり</t>
  </si>
  <si>
    <t>あり</t>
    <phoneticPr fontId="1"/>
  </si>
  <si>
    <t>なし</t>
  </si>
  <si>
    <t>なし</t>
    <phoneticPr fontId="1"/>
  </si>
  <si>
    <t>換気方式</t>
    <rPh sb="0" eb="2">
      <t>カンキ</t>
    </rPh>
    <rPh sb="2" eb="4">
      <t>ホウシキ</t>
    </rPh>
    <phoneticPr fontId="1"/>
  </si>
  <si>
    <t>第3種</t>
    <rPh sb="0" eb="1">
      <t>ダイ</t>
    </rPh>
    <rPh sb="2" eb="3">
      <t>シュ</t>
    </rPh>
    <phoneticPr fontId="1"/>
  </si>
  <si>
    <t>熱交換</t>
    <rPh sb="0" eb="1">
      <t>ネツ</t>
    </rPh>
    <rPh sb="1" eb="3">
      <t>コウカン</t>
    </rPh>
    <phoneticPr fontId="1"/>
  </si>
  <si>
    <t>給湯設備</t>
    <rPh sb="0" eb="2">
      <t>キュウトウ</t>
    </rPh>
    <rPh sb="2" eb="4">
      <t>セツビ</t>
    </rPh>
    <phoneticPr fontId="1"/>
  </si>
  <si>
    <t>標準</t>
    <rPh sb="0" eb="2">
      <t>ヒョウジュン</t>
    </rPh>
    <phoneticPr fontId="1"/>
  </si>
  <si>
    <t>ハイブリッド</t>
  </si>
  <si>
    <t>ハイブリッド</t>
    <phoneticPr fontId="1"/>
  </si>
  <si>
    <t>全館空調補正</t>
    <rPh sb="0" eb="2">
      <t>ゼンカン</t>
    </rPh>
    <rPh sb="2" eb="4">
      <t>クウチョウ</t>
    </rPh>
    <rPh sb="4" eb="6">
      <t>ホセイ</t>
    </rPh>
    <phoneticPr fontId="1"/>
  </si>
  <si>
    <t>全館空調</t>
    <rPh sb="0" eb="2">
      <t>ゼンカン</t>
    </rPh>
    <rPh sb="2" eb="4">
      <t>クウチョウ</t>
    </rPh>
    <phoneticPr fontId="1"/>
  </si>
  <si>
    <t>戸建て想定→一次エネ算出</t>
    <rPh sb="0" eb="2">
      <t>コダ</t>
    </rPh>
    <rPh sb="3" eb="5">
      <t>ソウテイ</t>
    </rPh>
    <rPh sb="6" eb="8">
      <t>イチジ</t>
    </rPh>
    <rPh sb="10" eb="12">
      <t>サンシュツ</t>
    </rPh>
    <phoneticPr fontId="1"/>
  </si>
  <si>
    <t>選択</t>
    <rPh sb="0" eb="2">
      <t>センタク</t>
    </rPh>
    <phoneticPr fontId="1"/>
  </si>
  <si>
    <t>一次エネ</t>
    <rPh sb="0" eb="2">
      <t>イチジ</t>
    </rPh>
    <phoneticPr fontId="1"/>
  </si>
  <si>
    <t>VLOOKUP用</t>
    <rPh sb="7" eb="8">
      <t>ヨウ</t>
    </rPh>
    <phoneticPr fontId="1"/>
  </si>
  <si>
    <t>GJ</t>
    <phoneticPr fontId="1"/>
  </si>
  <si>
    <t>全館空調</t>
    <rPh sb="0" eb="2">
      <t>ゼンカン</t>
    </rPh>
    <rPh sb="2" eb="4">
      <t>クウチョウ</t>
    </rPh>
    <phoneticPr fontId="1"/>
  </si>
  <si>
    <t>←全館空調＆熱交換の場合のみ「あり」が選択できます。</t>
    <rPh sb="1" eb="3">
      <t>ゼンカン</t>
    </rPh>
    <rPh sb="3" eb="5">
      <t>クウチョウ</t>
    </rPh>
    <rPh sb="6" eb="7">
      <t>ネツ</t>
    </rPh>
    <rPh sb="7" eb="9">
      <t>コウカン</t>
    </rPh>
    <rPh sb="10" eb="12">
      <t>バアイ</t>
    </rPh>
    <rPh sb="19" eb="21">
      <t>センタク</t>
    </rPh>
    <phoneticPr fontId="1"/>
  </si>
  <si>
    <t>想定①</t>
    <rPh sb="0" eb="2">
      <t>ソウテイ</t>
    </rPh>
    <phoneticPr fontId="1"/>
  </si>
  <si>
    <t>想定②</t>
    <rPh sb="0" eb="2">
      <t>ソウテイ</t>
    </rPh>
    <phoneticPr fontId="1"/>
  </si>
  <si>
    <t>想定③</t>
    <rPh sb="0" eb="2">
      <t>ソウテイ</t>
    </rPh>
    <phoneticPr fontId="1"/>
  </si>
  <si>
    <t>想定数</t>
    <rPh sb="0" eb="2">
      <t>ソウテイ</t>
    </rPh>
    <rPh sb="2" eb="3">
      <t>スウ</t>
    </rPh>
    <phoneticPr fontId="1"/>
  </si>
  <si>
    <t>想定⑥</t>
    <rPh sb="0" eb="2">
      <t>ソウテイ</t>
    </rPh>
    <phoneticPr fontId="1"/>
  </si>
  <si>
    <t>2025年新築割合</t>
    <rPh sb="4" eb="5">
      <t>ネン</t>
    </rPh>
    <rPh sb="5" eb="7">
      <t>シンチク</t>
    </rPh>
    <rPh sb="7" eb="9">
      <t>ワリアイ</t>
    </rPh>
    <phoneticPr fontId="1"/>
  </si>
  <si>
    <t>2030年新築割合</t>
    <rPh sb="4" eb="5">
      <t>ネン</t>
    </rPh>
    <rPh sb="5" eb="7">
      <t>シンチク</t>
    </rPh>
    <rPh sb="7" eb="9">
      <t>ワリアイ</t>
    </rPh>
    <phoneticPr fontId="1"/>
  </si>
  <si>
    <t>想定①</t>
  </si>
  <si>
    <t>想定②</t>
  </si>
  <si>
    <t>想定③</t>
  </si>
  <si>
    <t>想定④</t>
  </si>
  <si>
    <t>想定⑤</t>
  </si>
  <si>
    <t>1）国交省の想定による方法</t>
    <rPh sb="2" eb="5">
      <t>コッコウショウ</t>
    </rPh>
    <rPh sb="6" eb="8">
      <t>ソウテイ</t>
    </rPh>
    <rPh sb="11" eb="13">
      <t>ホウホウ</t>
    </rPh>
    <phoneticPr fontId="1"/>
  </si>
  <si>
    <t>2）新たなパターンをつくる方法</t>
    <rPh sb="2" eb="3">
      <t>アラ</t>
    </rPh>
    <rPh sb="13" eb="15">
      <t>ホウホウ</t>
    </rPh>
    <phoneticPr fontId="1"/>
  </si>
  <si>
    <t>BEI</t>
    <phoneticPr fontId="1"/>
  </si>
  <si>
    <t>一次エネ消費量【GJ/戸】</t>
    <rPh sb="0" eb="2">
      <t>イチジ</t>
    </rPh>
    <rPh sb="4" eb="7">
      <t>ショウヒリョウ</t>
    </rPh>
    <rPh sb="11" eb="12">
      <t>コ</t>
    </rPh>
    <phoneticPr fontId="1"/>
  </si>
  <si>
    <t>2．性能別の新築戸数の割合を設定する</t>
    <rPh sb="2" eb="4">
      <t>セイノウ</t>
    </rPh>
    <rPh sb="4" eb="5">
      <t>ベツ</t>
    </rPh>
    <rPh sb="6" eb="8">
      <t>シンチク</t>
    </rPh>
    <rPh sb="8" eb="10">
      <t>コスウ</t>
    </rPh>
    <rPh sb="11" eb="13">
      <t>ワリアイ</t>
    </rPh>
    <rPh sb="14" eb="16">
      <t>セッテイ</t>
    </rPh>
    <phoneticPr fontId="1"/>
  </si>
  <si>
    <t>全館空調補正について</t>
    <rPh sb="0" eb="2">
      <t>ゼンカン</t>
    </rPh>
    <rPh sb="2" eb="4">
      <t>クウチョウ</t>
    </rPh>
    <rPh sb="4" eb="6">
      <t>ホセイ</t>
    </rPh>
    <phoneticPr fontId="1"/>
  </si>
  <si>
    <t>これらの計算は建築研究所のサイトにある「エネルギー消費性能計算プログラム」を用いています。</t>
    <rPh sb="4" eb="6">
      <t>ケイサン</t>
    </rPh>
    <rPh sb="7" eb="9">
      <t>ケンチク</t>
    </rPh>
    <rPh sb="9" eb="12">
      <t>ケンキュウショ</t>
    </rPh>
    <rPh sb="25" eb="27">
      <t>ショウヒ</t>
    </rPh>
    <rPh sb="27" eb="29">
      <t>セイノウ</t>
    </rPh>
    <rPh sb="29" eb="31">
      <t>ケイサン</t>
    </rPh>
    <rPh sb="38" eb="39">
      <t>モチ</t>
    </rPh>
    <phoneticPr fontId="1"/>
  </si>
  <si>
    <t>国交省が想定している戸あたりの一次エネ消費量もこのプログラムを用いていることはほぼ明らかであり、それと整合性を持たせています。</t>
    <rPh sb="0" eb="3">
      <t>コッコウショウ</t>
    </rPh>
    <rPh sb="4" eb="6">
      <t>ソウテイ</t>
    </rPh>
    <rPh sb="10" eb="11">
      <t>コ</t>
    </rPh>
    <rPh sb="15" eb="17">
      <t>イチジ</t>
    </rPh>
    <rPh sb="19" eb="22">
      <t>ショウヒリョウ</t>
    </rPh>
    <rPh sb="31" eb="32">
      <t>モチ</t>
    </rPh>
    <rPh sb="41" eb="42">
      <t>アキ</t>
    </rPh>
    <rPh sb="51" eb="54">
      <t>セイゴウセイ</t>
    </rPh>
    <rPh sb="55" eb="56">
      <t>モ</t>
    </rPh>
    <phoneticPr fontId="1"/>
  </si>
  <si>
    <t>この計算では、上記の「基準一次エネルギー消費量」を算出するための設定（入力値）を用いていますが、実際の全館空調システムよりも暖冷房の一次エネ消費量が大きくなっていると考えられます。</t>
    <rPh sb="2" eb="4">
      <t>ケイサン</t>
    </rPh>
    <rPh sb="7" eb="9">
      <t>ジョウキ</t>
    </rPh>
    <rPh sb="11" eb="13">
      <t>キジュン</t>
    </rPh>
    <rPh sb="13" eb="15">
      <t>イチジ</t>
    </rPh>
    <rPh sb="20" eb="23">
      <t>ショウヒリョウ</t>
    </rPh>
    <rPh sb="25" eb="27">
      <t>サンシュツ</t>
    </rPh>
    <rPh sb="32" eb="34">
      <t>セッテイ</t>
    </rPh>
    <rPh sb="33" eb="34">
      <t>ケンセツ</t>
    </rPh>
    <rPh sb="35" eb="38">
      <t>ニュウリョクチ</t>
    </rPh>
    <rPh sb="40" eb="41">
      <t>モチ</t>
    </rPh>
    <rPh sb="48" eb="50">
      <t>ジッサイ</t>
    </rPh>
    <rPh sb="51" eb="53">
      <t>ゼンカン</t>
    </rPh>
    <rPh sb="53" eb="55">
      <t>クウチョウ</t>
    </rPh>
    <rPh sb="62" eb="65">
      <t>ダンレイボウ</t>
    </rPh>
    <rPh sb="66" eb="68">
      <t>イチジ</t>
    </rPh>
    <rPh sb="70" eb="73">
      <t>ショウヒリョウ</t>
    </rPh>
    <rPh sb="74" eb="75">
      <t>オオ</t>
    </rPh>
    <rPh sb="83" eb="84">
      <t>カンガ</t>
    </rPh>
    <phoneticPr fontId="1"/>
  </si>
  <si>
    <t>実際の入力においては「想定する実際の暖冷房一次エネ＝基準一次エネルギー算出想定での計算結果×全館空調補正係数」という考え方で、全館空調補正係数を設定します。</t>
    <rPh sb="0" eb="2">
      <t>ジッサイ</t>
    </rPh>
    <rPh sb="3" eb="5">
      <t>ニュウリョク</t>
    </rPh>
    <rPh sb="11" eb="13">
      <t>ソウテイ</t>
    </rPh>
    <rPh sb="15" eb="17">
      <t>ジッサイ</t>
    </rPh>
    <rPh sb="18" eb="21">
      <t>ダンレイボウ</t>
    </rPh>
    <rPh sb="21" eb="23">
      <t>イチジ</t>
    </rPh>
    <rPh sb="26" eb="28">
      <t>キジュン</t>
    </rPh>
    <rPh sb="28" eb="30">
      <t>イチジ</t>
    </rPh>
    <rPh sb="35" eb="37">
      <t>サンシュツ</t>
    </rPh>
    <rPh sb="37" eb="39">
      <t>ソウテイ</t>
    </rPh>
    <rPh sb="41" eb="43">
      <t>ケイサン</t>
    </rPh>
    <rPh sb="43" eb="45">
      <t>ケッカ</t>
    </rPh>
    <rPh sb="46" eb="48">
      <t>ゼンカン</t>
    </rPh>
    <rPh sb="48" eb="50">
      <t>クウチョウ</t>
    </rPh>
    <rPh sb="50" eb="52">
      <t>ホセイ</t>
    </rPh>
    <rPh sb="52" eb="54">
      <t>ケイスウ</t>
    </rPh>
    <rPh sb="58" eb="59">
      <t>カンガ</t>
    </rPh>
    <rPh sb="60" eb="61">
      <t>カタ</t>
    </rPh>
    <rPh sb="63" eb="65">
      <t>ゼンカン</t>
    </rPh>
    <rPh sb="65" eb="67">
      <t>クウチョウ</t>
    </rPh>
    <rPh sb="67" eb="69">
      <t>ホセイ</t>
    </rPh>
    <rPh sb="69" eb="71">
      <t>ケイスウ</t>
    </rPh>
    <rPh sb="72" eb="74">
      <t>セッテイ</t>
    </rPh>
    <phoneticPr fontId="1"/>
  </si>
  <si>
    <t>ただし、ハイブリッド給湯器は経産省管轄の省エネ量としてカウントされる高効率給湯器には分類されていないため、この給湯器の設置も想定しました。</t>
    <rPh sb="10" eb="13">
      <t>キュウトウキ</t>
    </rPh>
    <rPh sb="14" eb="17">
      <t>ケイサンショウ</t>
    </rPh>
    <rPh sb="17" eb="19">
      <t>カンカツ</t>
    </rPh>
    <rPh sb="20" eb="21">
      <t>ショウ</t>
    </rPh>
    <rPh sb="23" eb="24">
      <t>リョウ</t>
    </rPh>
    <rPh sb="34" eb="37">
      <t>コウコウリツ</t>
    </rPh>
    <rPh sb="37" eb="40">
      <t>キュウトウキ</t>
    </rPh>
    <rPh sb="42" eb="44">
      <t>ブンルイ</t>
    </rPh>
    <rPh sb="55" eb="58">
      <t>キュウトウキ</t>
    </rPh>
    <rPh sb="59" eb="61">
      <t>セッチ</t>
    </rPh>
    <rPh sb="62" eb="64">
      <t>ソウテイ</t>
    </rPh>
    <phoneticPr fontId="1"/>
  </si>
  <si>
    <t>なお、本プログラムでの実際の省エネ量計算に使うのは合計（戸あたりの一次エネ消費量）のみです。</t>
    <rPh sb="3" eb="4">
      <t>ホン</t>
    </rPh>
    <rPh sb="11" eb="13">
      <t>ジッサイ</t>
    </rPh>
    <rPh sb="14" eb="15">
      <t>ショウ</t>
    </rPh>
    <rPh sb="17" eb="18">
      <t>リョウ</t>
    </rPh>
    <rPh sb="18" eb="20">
      <t>ケイサン</t>
    </rPh>
    <rPh sb="21" eb="22">
      <t>ツカ</t>
    </rPh>
    <rPh sb="25" eb="27">
      <t>ゴウケイ</t>
    </rPh>
    <rPh sb="28" eb="29">
      <t>コ</t>
    </rPh>
    <rPh sb="33" eb="35">
      <t>イチジ</t>
    </rPh>
    <rPh sb="37" eb="40">
      <t>ショウヒリョウ</t>
    </rPh>
    <phoneticPr fontId="1"/>
  </si>
  <si>
    <t>一次エネ計算方法</t>
    <rPh sb="0" eb="2">
      <t>イチジ</t>
    </rPh>
    <rPh sb="4" eb="6">
      <t>ケイサン</t>
    </rPh>
    <rPh sb="6" eb="8">
      <t>ホウホウ</t>
    </rPh>
    <phoneticPr fontId="1"/>
  </si>
  <si>
    <t>国交省想定</t>
    <rPh sb="0" eb="3">
      <t>コッコウショウ</t>
    </rPh>
    <rPh sb="3" eb="5">
      <t>ソウテイ</t>
    </rPh>
    <phoneticPr fontId="1"/>
  </si>
  <si>
    <t>新たなパターン</t>
    <rPh sb="0" eb="1">
      <t>アラ</t>
    </rPh>
    <phoneticPr fontId="1"/>
  </si>
  <si>
    <t>新築の性能について新たなパターンを想定するための入力</t>
    <rPh sb="0" eb="2">
      <t>シンチク</t>
    </rPh>
    <rPh sb="3" eb="5">
      <t>セイノウ</t>
    </rPh>
    <rPh sb="9" eb="10">
      <t>アラ</t>
    </rPh>
    <rPh sb="17" eb="19">
      <t>ソウテイ</t>
    </rPh>
    <rPh sb="24" eb="26">
      <t>ニュウリョク</t>
    </rPh>
    <phoneticPr fontId="1"/>
  </si>
  <si>
    <t>1．新築の性能を想定する</t>
    <rPh sb="2" eb="4">
      <t>シンチク</t>
    </rPh>
    <rPh sb="5" eb="7">
      <t>セイノウ</t>
    </rPh>
    <rPh sb="8" eb="10">
      <t>ソウテイ</t>
    </rPh>
    <phoneticPr fontId="1"/>
  </si>
  <si>
    <t>まずは新築の性能を想定しますが、このとき新築の性能について次の2つの方法が選択できます。</t>
    <rPh sb="3" eb="5">
      <t>シンチク</t>
    </rPh>
    <rPh sb="6" eb="8">
      <t>セイノウ</t>
    </rPh>
    <rPh sb="9" eb="11">
      <t>ソウテイ</t>
    </rPh>
    <rPh sb="20" eb="22">
      <t>シンチク</t>
    </rPh>
    <rPh sb="23" eb="25">
      <t>セイノウ</t>
    </rPh>
    <rPh sb="29" eb="30">
      <t>ツギ</t>
    </rPh>
    <rPh sb="34" eb="36">
      <t>ホウホウ</t>
    </rPh>
    <rPh sb="37" eb="39">
      <t>センタク</t>
    </rPh>
    <phoneticPr fontId="1"/>
  </si>
  <si>
    <t>一次エネルギー消費量【GJ/戸】</t>
    <rPh sb="0" eb="2">
      <t>イチジ</t>
    </rPh>
    <rPh sb="7" eb="10">
      <t>ショウヒリョウ</t>
    </rPh>
    <rPh sb="14" eb="15">
      <t>コ</t>
    </rPh>
    <phoneticPr fontId="1"/>
  </si>
  <si>
    <t>全館空調補正係数の設定</t>
    <rPh sb="0" eb="2">
      <t>ゼンカン</t>
    </rPh>
    <rPh sb="2" eb="4">
      <t>クウチョウ</t>
    </rPh>
    <rPh sb="4" eb="6">
      <t>ホセイ</t>
    </rPh>
    <rPh sb="6" eb="8">
      <t>ケイスウ</t>
    </rPh>
    <rPh sb="9" eb="11">
      <t>セッテイ</t>
    </rPh>
    <phoneticPr fontId="1"/>
  </si>
  <si>
    <t>新築の性能を設定する方法の選択</t>
    <rPh sb="0" eb="2">
      <t>シンチク</t>
    </rPh>
    <rPh sb="3" eb="5">
      <t>セイノウ</t>
    </rPh>
    <rPh sb="6" eb="8">
      <t>セッテイ</t>
    </rPh>
    <rPh sb="10" eb="12">
      <t>ホウホウ</t>
    </rPh>
    <rPh sb="13" eb="15">
      <t>センタク</t>
    </rPh>
    <phoneticPr fontId="1"/>
  </si>
  <si>
    <t>先に解説した2つの方法のどちらを用いるかを選択してください。</t>
    <rPh sb="0" eb="1">
      <t>サキ</t>
    </rPh>
    <rPh sb="2" eb="4">
      <t>カイセツ</t>
    </rPh>
    <rPh sb="9" eb="11">
      <t>ホウホウ</t>
    </rPh>
    <rPh sb="16" eb="17">
      <t>モチ</t>
    </rPh>
    <rPh sb="21" eb="23">
      <t>センタク</t>
    </rPh>
    <phoneticPr fontId="1"/>
  </si>
  <si>
    <t>「国交省想定」の場合に新築戸数の割合を想定するための入力</t>
    <rPh sb="1" eb="4">
      <t>コッコウショウ</t>
    </rPh>
    <rPh sb="4" eb="6">
      <t>ソウテイ</t>
    </rPh>
    <rPh sb="8" eb="10">
      <t>バアイ</t>
    </rPh>
    <rPh sb="11" eb="13">
      <t>シンチク</t>
    </rPh>
    <rPh sb="13" eb="15">
      <t>コスウ</t>
    </rPh>
    <rPh sb="16" eb="18">
      <t>ワリアイ</t>
    </rPh>
    <rPh sb="19" eb="21">
      <t>ソウテイ</t>
    </rPh>
    <rPh sb="26" eb="28">
      <t>ニュウリョク</t>
    </rPh>
    <phoneticPr fontId="1"/>
  </si>
  <si>
    <t>一次エネ消費量</t>
    <rPh sb="0" eb="2">
      <t>イチジ</t>
    </rPh>
    <rPh sb="4" eb="7">
      <t>ショウヒリョウ</t>
    </rPh>
    <phoneticPr fontId="1"/>
  </si>
  <si>
    <t>国交省想定（参考）</t>
    <rPh sb="0" eb="3">
      <t>コッコウショウ</t>
    </rPh>
    <rPh sb="3" eb="5">
      <t>ソウテイ</t>
    </rPh>
    <rPh sb="6" eb="8">
      <t>サンコウ</t>
    </rPh>
    <phoneticPr fontId="1"/>
  </si>
  <si>
    <t>←必ず合計が100になるように入力してください。</t>
    <rPh sb="1" eb="2">
      <t>カナラ</t>
    </rPh>
    <rPh sb="3" eb="5">
      <t>ゴウケイ</t>
    </rPh>
    <rPh sb="15" eb="17">
      <t>ニュウリョク</t>
    </rPh>
    <phoneticPr fontId="1"/>
  </si>
  <si>
    <t>合計</t>
    <rPh sb="0" eb="2">
      <t>ゴウケイ</t>
    </rPh>
    <phoneticPr fontId="1"/>
  </si>
  <si>
    <t>←セルをクリックするとプルダウンメニューが出てきます。</t>
    <rPh sb="21" eb="22">
      <t>デ</t>
    </rPh>
    <phoneticPr fontId="1"/>
  </si>
  <si>
    <t>黄色のセルに割合を手入力してください。</t>
    <rPh sb="0" eb="2">
      <t>キイロ</t>
    </rPh>
    <rPh sb="6" eb="8">
      <t>ワリアイ</t>
    </rPh>
    <rPh sb="9" eb="12">
      <t>テニュウリョク</t>
    </rPh>
    <phoneticPr fontId="1"/>
  </si>
  <si>
    <t>参考のために、ここで全館空調補正係数を入力し、上表の数値がどのようになるかを見てください。</t>
    <rPh sb="0" eb="2">
      <t>サンコウ</t>
    </rPh>
    <rPh sb="10" eb="12">
      <t>ゼンカン</t>
    </rPh>
    <rPh sb="12" eb="14">
      <t>クウチョウ</t>
    </rPh>
    <rPh sb="14" eb="16">
      <t>ホセイ</t>
    </rPh>
    <rPh sb="16" eb="18">
      <t>ケイスウ</t>
    </rPh>
    <rPh sb="19" eb="21">
      <t>ニュウリョク</t>
    </rPh>
    <rPh sb="23" eb="25">
      <t>ジョウヒョウ</t>
    </rPh>
    <rPh sb="26" eb="28">
      <t>スウチ</t>
    </rPh>
    <rPh sb="38" eb="39">
      <t>ミ</t>
    </rPh>
    <phoneticPr fontId="1"/>
  </si>
  <si>
    <t>それを補正するのがこの「全館空調補正」です（「全館空調補正：あり」としているのは、換気方法が熱交換の場合のみです）。</t>
    <rPh sb="3" eb="5">
      <t>ホセイ</t>
    </rPh>
    <rPh sb="12" eb="14">
      <t>ゼンカン</t>
    </rPh>
    <rPh sb="14" eb="16">
      <t>クウチョウ</t>
    </rPh>
    <rPh sb="16" eb="18">
      <t>ホセイ</t>
    </rPh>
    <phoneticPr fontId="1"/>
  </si>
  <si>
    <t>全館空調補正係数</t>
    <rPh sb="0" eb="2">
      <t>ゼンカン</t>
    </rPh>
    <rPh sb="2" eb="4">
      <t>クウチョウ</t>
    </rPh>
    <rPh sb="4" eb="6">
      <t>ホセイ</t>
    </rPh>
    <rPh sb="6" eb="8">
      <t>ケイスウ</t>
    </rPh>
    <phoneticPr fontId="1"/>
  </si>
  <si>
    <t>←数値を変えてみてください。</t>
    <rPh sb="1" eb="3">
      <t>スウチ</t>
    </rPh>
    <rPh sb="4" eb="5">
      <t>カ</t>
    </rPh>
    <phoneticPr fontId="1"/>
  </si>
  <si>
    <t>メーカーなどから全館空調システムのシミュレーション結果や実測データが入手できる場合には、その数値に合うように全館空調補正係数を変更してください。</t>
    <rPh sb="8" eb="10">
      <t>ゼンカン</t>
    </rPh>
    <rPh sb="10" eb="12">
      <t>クウチョウ</t>
    </rPh>
    <rPh sb="25" eb="27">
      <t>ケッカ</t>
    </rPh>
    <rPh sb="28" eb="30">
      <t>ジッソク</t>
    </rPh>
    <rPh sb="34" eb="36">
      <t>ニュウシュ</t>
    </rPh>
    <rPh sb="39" eb="41">
      <t>バアイ</t>
    </rPh>
    <rPh sb="46" eb="48">
      <t>スウチ</t>
    </rPh>
    <rPh sb="49" eb="50">
      <t>ア</t>
    </rPh>
    <rPh sb="54" eb="56">
      <t>ゼンカン</t>
    </rPh>
    <rPh sb="56" eb="58">
      <t>クウチョウ</t>
    </rPh>
    <rPh sb="58" eb="60">
      <t>ホセイ</t>
    </rPh>
    <rPh sb="60" eb="62">
      <t>ケイスウ</t>
    </rPh>
    <rPh sb="63" eb="65">
      <t>ヘンコウ</t>
    </rPh>
    <phoneticPr fontId="1"/>
  </si>
  <si>
    <t>なお、ここでの計算は6地域を想定したものであり、そのことを考慮してメーカーからの情報を見るようにしてください。</t>
    <rPh sb="7" eb="9">
      <t>ケイサン</t>
    </rPh>
    <rPh sb="11" eb="13">
      <t>チイキ</t>
    </rPh>
    <rPh sb="14" eb="16">
      <t>ソウテイ</t>
    </rPh>
    <rPh sb="29" eb="31">
      <t>コウリョ</t>
    </rPh>
    <rPh sb="40" eb="42">
      <t>ジョウホウ</t>
    </rPh>
    <rPh sb="43" eb="44">
      <t>ミ</t>
    </rPh>
    <phoneticPr fontId="1"/>
  </si>
  <si>
    <t>「新たなパターン」の場合に新築戸数の割合を想定するための入力</t>
    <rPh sb="1" eb="2">
      <t>アラ</t>
    </rPh>
    <rPh sb="10" eb="12">
      <t>バアイ</t>
    </rPh>
    <rPh sb="13" eb="15">
      <t>シンチク</t>
    </rPh>
    <rPh sb="15" eb="17">
      <t>コスウ</t>
    </rPh>
    <rPh sb="18" eb="20">
      <t>ワリアイ</t>
    </rPh>
    <rPh sb="21" eb="23">
      <t>ソウテイ</t>
    </rPh>
    <rPh sb="28" eb="30">
      <t>ニュウリョク</t>
    </rPh>
    <phoneticPr fontId="1"/>
  </si>
  <si>
    <t>一次エネ消費量は固定されているので、新築戸数の割合のみを入力します。</t>
    <rPh sb="0" eb="2">
      <t>イチジ</t>
    </rPh>
    <rPh sb="4" eb="7">
      <t>ショウヒリョウ</t>
    </rPh>
    <rPh sb="8" eb="10">
      <t>コテイ</t>
    </rPh>
    <rPh sb="18" eb="20">
      <t>シンチク</t>
    </rPh>
    <rPh sb="20" eb="22">
      <t>コスウ</t>
    </rPh>
    <rPh sb="23" eb="25">
      <t>ワリアイ</t>
    </rPh>
    <rPh sb="28" eb="30">
      <t>ニュウリョク</t>
    </rPh>
    <phoneticPr fontId="1"/>
  </si>
  <si>
    <t>一次エネ想定のパラメータ変更</t>
    <rPh sb="0" eb="2">
      <t>イチジ</t>
    </rPh>
    <rPh sb="4" eb="6">
      <t>ソウテイ</t>
    </rPh>
    <rPh sb="12" eb="14">
      <t>ヘンコウ</t>
    </rPh>
    <phoneticPr fontId="1"/>
  </si>
  <si>
    <t>国交省試算</t>
    <rPh sb="0" eb="3">
      <t>コッコウショウ</t>
    </rPh>
    <rPh sb="3" eb="5">
      <t>シサン</t>
    </rPh>
    <phoneticPr fontId="1"/>
  </si>
  <si>
    <t>国交省があり方検討会で示した試算</t>
    <rPh sb="0" eb="3">
      <t>コッコウショウ</t>
    </rPh>
    <rPh sb="6" eb="7">
      <t>カタ</t>
    </rPh>
    <rPh sb="7" eb="10">
      <t>ケントウカイ</t>
    </rPh>
    <rPh sb="11" eb="12">
      <t>シメ</t>
    </rPh>
    <rPh sb="14" eb="16">
      <t>シサン</t>
    </rPh>
    <phoneticPr fontId="1"/>
  </si>
  <si>
    <t>万kL</t>
    <rPh sb="0" eb="1">
      <t>マン</t>
    </rPh>
    <phoneticPr fontId="1"/>
  </si>
  <si>
    <t>本プログラムでの計算結果</t>
    <rPh sb="0" eb="1">
      <t>ホン</t>
    </rPh>
    <rPh sb="8" eb="10">
      <t>ケイサン</t>
    </rPh>
    <rPh sb="10" eb="12">
      <t>ケッカ</t>
    </rPh>
    <phoneticPr fontId="1"/>
  </si>
  <si>
    <t>増減</t>
    <rPh sb="0" eb="2">
      <t>ゾウゲン</t>
    </rPh>
    <phoneticPr fontId="1"/>
  </si>
  <si>
    <t>新築戸建て</t>
    <rPh sb="0" eb="2">
      <t>シンチク</t>
    </rPh>
    <rPh sb="2" eb="4">
      <t>コダ</t>
    </rPh>
    <phoneticPr fontId="1"/>
  </si>
  <si>
    <t>新築共同</t>
    <rPh sb="0" eb="2">
      <t>シンチク</t>
    </rPh>
    <rPh sb="2" eb="4">
      <t>キョウドウ</t>
    </rPh>
    <phoneticPr fontId="1"/>
  </si>
  <si>
    <t>改修の想定</t>
    <rPh sb="0" eb="2">
      <t>カイシュウ</t>
    </rPh>
    <rPh sb="3" eb="5">
      <t>ソウテイ</t>
    </rPh>
    <phoneticPr fontId="1"/>
  </si>
  <si>
    <t>①</t>
    <phoneticPr fontId="1"/>
  </si>
  <si>
    <t>②</t>
    <phoneticPr fontId="1"/>
  </si>
  <si>
    <t>ここから新築戸建ての計算シート</t>
    <rPh sb="4" eb="6">
      <t>シンチク</t>
    </rPh>
    <rPh sb="6" eb="8">
      <t>コダ</t>
    </rPh>
    <rPh sb="10" eb="12">
      <t>ケイサン</t>
    </rPh>
    <phoneticPr fontId="1"/>
  </si>
  <si>
    <t>ここから改修戸建ての計算シート</t>
    <rPh sb="4" eb="6">
      <t>カイシュウ</t>
    </rPh>
    <rPh sb="6" eb="8">
      <t>コダ</t>
    </rPh>
    <rPh sb="10" eb="12">
      <t>ケイサン</t>
    </rPh>
    <phoneticPr fontId="1"/>
  </si>
  <si>
    <t>←いずれかを選択します。</t>
    <rPh sb="6" eb="8">
      <t>センタク</t>
    </rPh>
    <phoneticPr fontId="1"/>
  </si>
  <si>
    <t>省エネ量の結果表示（新築戸建て）</t>
    <rPh sb="0" eb="1">
      <t>ショウ</t>
    </rPh>
    <rPh sb="3" eb="4">
      <t>リョウ</t>
    </rPh>
    <rPh sb="5" eb="7">
      <t>ケッカ</t>
    </rPh>
    <rPh sb="7" eb="9">
      <t>ヒョウジ</t>
    </rPh>
    <rPh sb="10" eb="12">
      <t>シンチク</t>
    </rPh>
    <rPh sb="12" eb="14">
      <t>コダ</t>
    </rPh>
    <phoneticPr fontId="1"/>
  </si>
  <si>
    <t>省エネ量の結果表示（改修戸建て）</t>
    <rPh sb="0" eb="1">
      <t>ショウ</t>
    </rPh>
    <rPh sb="3" eb="4">
      <t>リョウ</t>
    </rPh>
    <rPh sb="5" eb="7">
      <t>ケッカ</t>
    </rPh>
    <rPh sb="7" eb="9">
      <t>ヒョウジ</t>
    </rPh>
    <rPh sb="10" eb="12">
      <t>カイシュウ</t>
    </rPh>
    <rPh sb="12" eb="14">
      <t>コダ</t>
    </rPh>
    <phoneticPr fontId="1"/>
  </si>
  <si>
    <t>改修戸建て</t>
    <rPh sb="0" eb="2">
      <t>カイシュウ</t>
    </rPh>
    <rPh sb="2" eb="4">
      <t>コダ</t>
    </rPh>
    <phoneticPr fontId="1"/>
  </si>
  <si>
    <t>改修共同</t>
    <rPh sb="0" eb="2">
      <t>カイシュウ</t>
    </rPh>
    <rPh sb="2" eb="4">
      <t>キョウドウ</t>
    </rPh>
    <phoneticPr fontId="1"/>
  </si>
  <si>
    <t>改修比率の入力</t>
    <rPh sb="0" eb="2">
      <t>カイシュウ</t>
    </rPh>
    <rPh sb="2" eb="4">
      <t>ヒリツ</t>
    </rPh>
    <rPh sb="5" eb="7">
      <t>ニュウリョク</t>
    </rPh>
    <phoneticPr fontId="1"/>
  </si>
  <si>
    <t>←改修を想定する性能レベルです。</t>
    <rPh sb="1" eb="3">
      <t>カイシュウ</t>
    </rPh>
    <rPh sb="4" eb="6">
      <t>ソウテイ</t>
    </rPh>
    <rPh sb="8" eb="10">
      <t>セイノウ</t>
    </rPh>
    <phoneticPr fontId="1"/>
  </si>
  <si>
    <t>①の場合</t>
    <rPh sb="2" eb="4">
      <t>バアイ</t>
    </rPh>
    <phoneticPr fontId="1"/>
  </si>
  <si>
    <t>②の場合</t>
    <rPh sb="2" eb="4">
      <t>バアイ</t>
    </rPh>
    <phoneticPr fontId="1"/>
  </si>
  <si>
    <t>←左から数値の大きい順に並べることをお勧めします。</t>
    <rPh sb="1" eb="2">
      <t>ヒダリ</t>
    </rPh>
    <rPh sb="4" eb="6">
      <t>スウチ</t>
    </rPh>
    <rPh sb="7" eb="8">
      <t>オオ</t>
    </rPh>
    <rPh sb="10" eb="11">
      <t>ジュン</t>
    </rPh>
    <rPh sb="12" eb="13">
      <t>ナラ</t>
    </rPh>
    <rPh sb="19" eb="20">
      <t>スス</t>
    </rPh>
    <phoneticPr fontId="1"/>
  </si>
  <si>
    <t>削減された原油量を表しており、数値が大きいほど省エネ効果が大きいことになります。</t>
    <rPh sb="0" eb="2">
      <t>サクゲン</t>
    </rPh>
    <rPh sb="5" eb="8">
      <t>ゲンユリョウ</t>
    </rPh>
    <rPh sb="9" eb="10">
      <t>アラワ</t>
    </rPh>
    <rPh sb="15" eb="17">
      <t>スウチ</t>
    </rPh>
    <rPh sb="18" eb="19">
      <t>オオ</t>
    </rPh>
    <rPh sb="23" eb="24">
      <t>ショウ</t>
    </rPh>
    <rPh sb="26" eb="28">
      <t>コウカ</t>
    </rPh>
    <rPh sb="29" eb="30">
      <t>オオ</t>
    </rPh>
    <phoneticPr fontId="1"/>
  </si>
  <si>
    <t>省エネ量評価プログラム（戸建て）</t>
    <rPh sb="0" eb="1">
      <t>ショウ</t>
    </rPh>
    <rPh sb="3" eb="4">
      <t>リョウ</t>
    </rPh>
    <rPh sb="4" eb="6">
      <t>ヒョウカ</t>
    </rPh>
    <rPh sb="12" eb="14">
      <t>コダ</t>
    </rPh>
    <phoneticPr fontId="1"/>
  </si>
  <si>
    <t>2022年～2030年までの新築共同住宅による省エネ量の計算を行います。</t>
    <rPh sb="4" eb="5">
      <t>ネン</t>
    </rPh>
    <rPh sb="10" eb="11">
      <t>ネン</t>
    </rPh>
    <rPh sb="14" eb="16">
      <t>シンチク</t>
    </rPh>
    <rPh sb="16" eb="18">
      <t>キョウドウ</t>
    </rPh>
    <rPh sb="18" eb="20">
      <t>ジュウタク</t>
    </rPh>
    <rPh sb="23" eb="24">
      <t>ショウ</t>
    </rPh>
    <rPh sb="26" eb="27">
      <t>リョウ</t>
    </rPh>
    <rPh sb="28" eb="30">
      <t>ケイサン</t>
    </rPh>
    <rPh sb="31" eb="32">
      <t>オコナ</t>
    </rPh>
    <phoneticPr fontId="1"/>
  </si>
  <si>
    <t>省エネ量評価プログラム（共同住宅）</t>
    <rPh sb="0" eb="1">
      <t>ショウ</t>
    </rPh>
    <rPh sb="3" eb="4">
      <t>リョウ</t>
    </rPh>
    <rPh sb="4" eb="6">
      <t>ヒョウカ</t>
    </rPh>
    <rPh sb="12" eb="14">
      <t>キョウドウ</t>
    </rPh>
    <rPh sb="14" eb="16">
      <t>ジュウタク</t>
    </rPh>
    <phoneticPr fontId="1"/>
  </si>
  <si>
    <t>↑新築共同住宅のプログラムの結果を掲示しています。</t>
    <rPh sb="1" eb="3">
      <t>シンチク</t>
    </rPh>
    <rPh sb="3" eb="5">
      <t>キョウドウ</t>
    </rPh>
    <rPh sb="5" eb="7">
      <t>ジュウタク</t>
    </rPh>
    <rPh sb="14" eb="16">
      <t>ケッカ</t>
    </rPh>
    <rPh sb="17" eb="19">
      <t>ケイジ</t>
    </rPh>
    <phoneticPr fontId="1"/>
  </si>
  <si>
    <t>新築戸建てでは「新たなパターン」も想定できるようにしていますが、共同住宅は国交省の想定のみになります。</t>
    <rPh sb="0" eb="2">
      <t>シンチク</t>
    </rPh>
    <rPh sb="2" eb="4">
      <t>コダ</t>
    </rPh>
    <rPh sb="8" eb="9">
      <t>アラ</t>
    </rPh>
    <rPh sb="17" eb="19">
      <t>ソウテイ</t>
    </rPh>
    <rPh sb="32" eb="34">
      <t>キョウドウ</t>
    </rPh>
    <rPh sb="34" eb="36">
      <t>ジュウタク</t>
    </rPh>
    <rPh sb="37" eb="40">
      <t>コッコウショウ</t>
    </rPh>
    <rPh sb="41" eb="43">
      <t>ソウテイ</t>
    </rPh>
    <phoneticPr fontId="1"/>
  </si>
  <si>
    <t>国交省による性能の想定は以下です。</t>
    <rPh sb="0" eb="3">
      <t>コッコウショウ</t>
    </rPh>
    <rPh sb="6" eb="8">
      <t>セイノウ</t>
    </rPh>
    <rPh sb="9" eb="11">
      <t>ソウテイ</t>
    </rPh>
    <rPh sb="12" eb="14">
      <t>イカ</t>
    </rPh>
    <phoneticPr fontId="1"/>
  </si>
  <si>
    <t>従って、入力が必要になるのは2025年と2030年の新築戸数の割合のみです。</t>
    <rPh sb="0" eb="1">
      <t>シタガ</t>
    </rPh>
    <rPh sb="4" eb="6">
      <t>ニュウリョク</t>
    </rPh>
    <rPh sb="7" eb="9">
      <t>ヒツヨウ</t>
    </rPh>
    <rPh sb="18" eb="19">
      <t>ネン</t>
    </rPh>
    <rPh sb="24" eb="25">
      <t>ネン</t>
    </rPh>
    <rPh sb="26" eb="28">
      <t>シンチク</t>
    </rPh>
    <rPh sb="28" eb="30">
      <t>コスウ</t>
    </rPh>
    <rPh sb="31" eb="33">
      <t>ワリアイ</t>
    </rPh>
    <phoneticPr fontId="1"/>
  </si>
  <si>
    <t>新築戸数の割合を想定するための入力</t>
    <rPh sb="0" eb="2">
      <t>シンチク</t>
    </rPh>
    <rPh sb="2" eb="4">
      <t>コスウ</t>
    </rPh>
    <rPh sb="5" eb="7">
      <t>ワリアイ</t>
    </rPh>
    <rPh sb="8" eb="10">
      <t>ソウテイ</t>
    </rPh>
    <rPh sb="15" eb="17">
      <t>ニュウリョク</t>
    </rPh>
    <phoneticPr fontId="1"/>
  </si>
  <si>
    <t>省エネ量の結果表示（新築共同住宅）</t>
    <rPh sb="0" eb="1">
      <t>ショウ</t>
    </rPh>
    <rPh sb="3" eb="4">
      <t>リョウ</t>
    </rPh>
    <rPh sb="5" eb="7">
      <t>ケッカ</t>
    </rPh>
    <rPh sb="7" eb="9">
      <t>ヒョウジ</t>
    </rPh>
    <rPh sb="10" eb="12">
      <t>シンチク</t>
    </rPh>
    <rPh sb="12" eb="14">
      <t>キョウドウ</t>
    </rPh>
    <rPh sb="14" eb="16">
      <t>ジュウタク</t>
    </rPh>
    <phoneticPr fontId="1"/>
  </si>
  <si>
    <t>↑新築戸建てのプログラムの結果を掲示しています。</t>
    <rPh sb="1" eb="3">
      <t>シンチク</t>
    </rPh>
    <rPh sb="3" eb="5">
      <t>コダ</t>
    </rPh>
    <rPh sb="13" eb="15">
      <t>ケッカ</t>
    </rPh>
    <rPh sb="16" eb="18">
      <t>ケイジ</t>
    </rPh>
    <phoneticPr fontId="1"/>
  </si>
  <si>
    <t>国交省</t>
    <rPh sb="0" eb="3">
      <t>コッコウショウ</t>
    </rPh>
    <phoneticPr fontId="1"/>
  </si>
  <si>
    <t>←「改修戸建て」で入力した戸数と同じにしてください。</t>
    <rPh sb="2" eb="4">
      <t>カイシュウ</t>
    </rPh>
    <rPh sb="4" eb="6">
      <t>コダ</t>
    </rPh>
    <rPh sb="9" eb="11">
      <t>ニュウリョク</t>
    </rPh>
    <rPh sb="13" eb="15">
      <t>コスウ</t>
    </rPh>
    <rPh sb="16" eb="17">
      <t>オナ</t>
    </rPh>
    <phoneticPr fontId="1"/>
  </si>
  <si>
    <t>国交省想定（参考）</t>
    <rPh sb="0" eb="3">
      <t>コッコウショウ</t>
    </rPh>
    <rPh sb="3" eb="5">
      <t>ソウテイ</t>
    </rPh>
    <rPh sb="6" eb="8">
      <t>サンコウ</t>
    </rPh>
    <phoneticPr fontId="1"/>
  </si>
  <si>
    <t>↑改修戸建てのプログラムの結果を掲示しています。</t>
    <rPh sb="1" eb="3">
      <t>カイシュウ</t>
    </rPh>
    <rPh sb="3" eb="5">
      <t>コダ</t>
    </rPh>
    <rPh sb="13" eb="15">
      <t>ケッカ</t>
    </rPh>
    <rPh sb="16" eb="18">
      <t>ケイジ</t>
    </rPh>
    <phoneticPr fontId="1"/>
  </si>
  <si>
    <t>省エネ量の結果表示（改修共同住宅）</t>
    <rPh sb="0" eb="1">
      <t>ショウ</t>
    </rPh>
    <rPh sb="3" eb="4">
      <t>リョウ</t>
    </rPh>
    <rPh sb="5" eb="7">
      <t>ケッカ</t>
    </rPh>
    <rPh sb="7" eb="9">
      <t>ヒョウジ</t>
    </rPh>
    <rPh sb="10" eb="12">
      <t>カイシュウ</t>
    </rPh>
    <rPh sb="12" eb="14">
      <t>キョウドウ</t>
    </rPh>
    <rPh sb="14" eb="16">
      <t>ジュウタク</t>
    </rPh>
    <phoneticPr fontId="1"/>
  </si>
  <si>
    <t>合計</t>
    <rPh sb="0" eb="2">
      <t>ゴウケイ</t>
    </rPh>
    <phoneticPr fontId="1"/>
  </si>
  <si>
    <t>1）2030年における新築戸建ての太陽光発電設置比率を想定する方法</t>
    <rPh sb="6" eb="7">
      <t>ネン</t>
    </rPh>
    <rPh sb="11" eb="13">
      <t>シンチク</t>
    </rPh>
    <rPh sb="13" eb="15">
      <t>コダ</t>
    </rPh>
    <rPh sb="17" eb="20">
      <t>タイヨウコウ</t>
    </rPh>
    <rPh sb="20" eb="22">
      <t>ハツデン</t>
    </rPh>
    <rPh sb="22" eb="24">
      <t>セッチ</t>
    </rPh>
    <rPh sb="24" eb="26">
      <t>ヒリツ</t>
    </rPh>
    <rPh sb="27" eb="29">
      <t>ソウテイ</t>
    </rPh>
    <rPh sb="31" eb="33">
      <t>ホウホウ</t>
    </rPh>
    <phoneticPr fontId="1"/>
  </si>
  <si>
    <t>2）義務化する年を想定する方法</t>
    <rPh sb="2" eb="5">
      <t>ギムカ</t>
    </rPh>
    <rPh sb="7" eb="8">
      <t>トシ</t>
    </rPh>
    <rPh sb="9" eb="11">
      <t>ソウテイ</t>
    </rPh>
    <rPh sb="13" eb="15">
      <t>ホウホウ</t>
    </rPh>
    <phoneticPr fontId="1"/>
  </si>
  <si>
    <t>1）の場合の入力</t>
    <rPh sb="3" eb="5">
      <t>バアイ</t>
    </rPh>
    <rPh sb="6" eb="8">
      <t>ニュウリョク</t>
    </rPh>
    <phoneticPr fontId="1"/>
  </si>
  <si>
    <t>2）の場合の入力</t>
    <rPh sb="3" eb="5">
      <t>バアイ</t>
    </rPh>
    <rPh sb="6" eb="8">
      <t>ニュウリョク</t>
    </rPh>
    <phoneticPr fontId="1"/>
  </si>
  <si>
    <t>ここからは計算</t>
    <rPh sb="5" eb="7">
      <t>ケイサン</t>
    </rPh>
    <phoneticPr fontId="1"/>
  </si>
  <si>
    <t>省エネ量の結果表示（太陽光発電）</t>
    <rPh sb="0" eb="1">
      <t>ショウ</t>
    </rPh>
    <rPh sb="3" eb="4">
      <t>リョウ</t>
    </rPh>
    <rPh sb="5" eb="7">
      <t>ケッカ</t>
    </rPh>
    <rPh sb="7" eb="9">
      <t>ヒョウジ</t>
    </rPh>
    <rPh sb="10" eb="13">
      <t>タイヨウコウ</t>
    </rPh>
    <rPh sb="13" eb="15">
      <t>ハツデン</t>
    </rPh>
    <phoneticPr fontId="1"/>
  </si>
  <si>
    <t>1）の場合</t>
    <rPh sb="3" eb="5">
      <t>バアイ</t>
    </rPh>
    <phoneticPr fontId="1"/>
  </si>
  <si>
    <t>2）の場合</t>
    <rPh sb="3" eb="5">
      <t>バアイ</t>
    </rPh>
    <phoneticPr fontId="1"/>
  </si>
  <si>
    <t>経産省の想定</t>
    <rPh sb="0" eb="3">
      <t>ケイサンショウ</t>
    </rPh>
    <rPh sb="4" eb="6">
      <t>ソウテイ</t>
    </rPh>
    <phoneticPr fontId="1"/>
  </si>
  <si>
    <t>経産省</t>
    <rPh sb="0" eb="3">
      <t>ケイサンショウ</t>
    </rPh>
    <phoneticPr fontId="1"/>
  </si>
  <si>
    <t>ー</t>
    <phoneticPr fontId="1"/>
  </si>
  <si>
    <t>戸あたりの設置容量</t>
    <rPh sb="0" eb="1">
      <t>コ</t>
    </rPh>
    <rPh sb="5" eb="7">
      <t>セッチ</t>
    </rPh>
    <rPh sb="7" eb="9">
      <t>ヨウリョウ</t>
    </rPh>
    <phoneticPr fontId="1"/>
  </si>
  <si>
    <t>2021年新築における太陽光発電設置戸数</t>
    <rPh sb="4" eb="5">
      <t>ネン</t>
    </rPh>
    <rPh sb="5" eb="7">
      <t>シンチク</t>
    </rPh>
    <rPh sb="11" eb="14">
      <t>タイヨウコウ</t>
    </rPh>
    <rPh sb="14" eb="16">
      <t>ハツデン</t>
    </rPh>
    <rPh sb="16" eb="18">
      <t>セッチ</t>
    </rPh>
    <rPh sb="18" eb="20">
      <t>コスウ</t>
    </rPh>
    <phoneticPr fontId="1"/>
  </si>
  <si>
    <t>万戸</t>
    <rPh sb="0" eb="1">
      <t>マン</t>
    </rPh>
    <rPh sb="1" eb="2">
      <t>コ</t>
    </rPh>
    <phoneticPr fontId="1"/>
  </si>
  <si>
    <t>L/kWh</t>
  </si>
  <si>
    <t>←経産省の想定は60％。最大で90％程度が妥当だと思います。</t>
    <rPh sb="1" eb="4">
      <t>ケイサンショウ</t>
    </rPh>
    <rPh sb="5" eb="7">
      <t>ソウテイ</t>
    </rPh>
    <rPh sb="12" eb="14">
      <t>サイダイ</t>
    </rPh>
    <rPh sb="18" eb="20">
      <t>テイド</t>
    </rPh>
    <rPh sb="21" eb="23">
      <t>ダトウ</t>
    </rPh>
    <rPh sb="25" eb="26">
      <t>オモ</t>
    </rPh>
    <phoneticPr fontId="1"/>
  </si>
  <si>
    <t>義務化された年の新築戸建て設置比率</t>
    <rPh sb="0" eb="3">
      <t>ギムカ</t>
    </rPh>
    <rPh sb="6" eb="7">
      <t>トシ</t>
    </rPh>
    <rPh sb="8" eb="10">
      <t>シンチク</t>
    </rPh>
    <rPh sb="10" eb="12">
      <t>コダ</t>
    </rPh>
    <rPh sb="13" eb="15">
      <t>セッチ</t>
    </rPh>
    <rPh sb="15" eb="17">
      <t>ヒリツ</t>
    </rPh>
    <phoneticPr fontId="1"/>
  </si>
  <si>
    <t>■計算で用いた主な想定</t>
    <rPh sb="1" eb="3">
      <t>ケイサン</t>
    </rPh>
    <rPh sb="4" eb="5">
      <t>モチ</t>
    </rPh>
    <rPh sb="7" eb="8">
      <t>オモ</t>
    </rPh>
    <rPh sb="9" eb="11">
      <t>ソウテイ</t>
    </rPh>
    <phoneticPr fontId="1"/>
  </si>
  <si>
    <t>総合結果表示シートのための選択</t>
    <rPh sb="0" eb="2">
      <t>ソウゴウ</t>
    </rPh>
    <rPh sb="2" eb="4">
      <t>ケッカ</t>
    </rPh>
    <rPh sb="4" eb="6">
      <t>ヒョウジ</t>
    </rPh>
    <rPh sb="13" eb="15">
      <t>センタク</t>
    </rPh>
    <phoneticPr fontId="1"/>
  </si>
  <si>
    <t>太陽光の想定</t>
    <rPh sb="0" eb="3">
      <t>タイヨウコウ</t>
    </rPh>
    <rPh sb="4" eb="6">
      <t>ソウテイ</t>
    </rPh>
    <phoneticPr fontId="1"/>
  </si>
  <si>
    <t>1）</t>
    <phoneticPr fontId="1"/>
  </si>
  <si>
    <t>2）</t>
    <phoneticPr fontId="1"/>
  </si>
  <si>
    <t>総合結果表示シートに表示させる省エネ量を1）もしくは2）にするための選択をしてください。</t>
    <rPh sb="0" eb="2">
      <t>ソウゴウ</t>
    </rPh>
    <rPh sb="2" eb="4">
      <t>ケッカ</t>
    </rPh>
    <rPh sb="4" eb="6">
      <t>ヒョウジ</t>
    </rPh>
    <rPh sb="10" eb="12">
      <t>ヒョウジ</t>
    </rPh>
    <rPh sb="15" eb="16">
      <t>ショウ</t>
    </rPh>
    <rPh sb="18" eb="19">
      <t>リョウ</t>
    </rPh>
    <rPh sb="34" eb="36">
      <t>センタク</t>
    </rPh>
    <phoneticPr fontId="1"/>
  </si>
  <si>
    <t>国の想定</t>
    <rPh sb="0" eb="1">
      <t>クニ</t>
    </rPh>
    <rPh sb="2" eb="4">
      <t>ソウテイ</t>
    </rPh>
    <phoneticPr fontId="1"/>
  </si>
  <si>
    <t>新築戸建て太陽光</t>
    <rPh sb="0" eb="2">
      <t>シンチク</t>
    </rPh>
    <rPh sb="2" eb="4">
      <t>コダ</t>
    </rPh>
    <rPh sb="5" eb="8">
      <t>タイヨウコウ</t>
    </rPh>
    <phoneticPr fontId="1"/>
  </si>
  <si>
    <t>改修合計</t>
    <rPh sb="0" eb="2">
      <t>カイシュウ</t>
    </rPh>
    <rPh sb="2" eb="4">
      <t>ゴウケイ</t>
    </rPh>
    <phoneticPr fontId="1"/>
  </si>
  <si>
    <t>総合計</t>
    <rPh sb="0" eb="3">
      <t>ソウゴウケイ</t>
    </rPh>
    <phoneticPr fontId="1"/>
  </si>
  <si>
    <t>計算結果</t>
    <rPh sb="0" eb="2">
      <t>ケイサン</t>
    </rPh>
    <rPh sb="2" eb="4">
      <t>ケッカ</t>
    </rPh>
    <phoneticPr fontId="1"/>
  </si>
  <si>
    <t>上記合計</t>
    <rPh sb="0" eb="2">
      <t>ジョウキ</t>
    </rPh>
    <rPh sb="2" eb="4">
      <t>ゴウケイ</t>
    </rPh>
    <phoneticPr fontId="1"/>
  </si>
  <si>
    <t>新築戸建てのみ合計（太陽光含む）</t>
    <rPh sb="0" eb="2">
      <t>シンチク</t>
    </rPh>
    <rPh sb="2" eb="4">
      <t>コダ</t>
    </rPh>
    <rPh sb="7" eb="9">
      <t>ゴウケイ</t>
    </rPh>
    <rPh sb="10" eb="13">
      <t>タイヨウコウ</t>
    </rPh>
    <rPh sb="13" eb="14">
      <t>フク</t>
    </rPh>
    <phoneticPr fontId="1"/>
  </si>
  <si>
    <t>総合結果表示</t>
    <rPh sb="0" eb="2">
      <t>ソウゴウ</t>
    </rPh>
    <rPh sb="2" eb="4">
      <t>ケッカ</t>
    </rPh>
    <rPh sb="4" eb="6">
      <t>ヒョウジ</t>
    </rPh>
    <phoneticPr fontId="1"/>
  </si>
  <si>
    <t>単位はすべて「万kL」</t>
    <rPh sb="0" eb="2">
      <t>タンイ</t>
    </rPh>
    <rPh sb="7" eb="8">
      <t>マン</t>
    </rPh>
    <phoneticPr fontId="1"/>
  </si>
  <si>
    <t>https://www.mlit.go.jp/jutakukentiku/house/content/001415901.pdf</t>
    <phoneticPr fontId="1"/>
  </si>
  <si>
    <t>https://www.mlit.go.jp/jutakukentiku/house/content/001415902.pdf</t>
    <phoneticPr fontId="1"/>
  </si>
  <si>
    <t>これらの資料で提示されている計算条件はごく一部に限られており、国が提示している省エネ量に合致するような計算条件を求めることには大変苦労しました。</t>
    <rPh sb="4" eb="6">
      <t>シリョウ</t>
    </rPh>
    <rPh sb="7" eb="9">
      <t>テイジ</t>
    </rPh>
    <rPh sb="14" eb="16">
      <t>ケイサン</t>
    </rPh>
    <rPh sb="16" eb="18">
      <t>ジョウケン</t>
    </rPh>
    <rPh sb="21" eb="23">
      <t>イチブ</t>
    </rPh>
    <rPh sb="24" eb="25">
      <t>カギ</t>
    </rPh>
    <rPh sb="31" eb="32">
      <t>クニ</t>
    </rPh>
    <rPh sb="33" eb="35">
      <t>テイジ</t>
    </rPh>
    <rPh sb="39" eb="40">
      <t>ショウ</t>
    </rPh>
    <rPh sb="42" eb="43">
      <t>リョウ</t>
    </rPh>
    <rPh sb="44" eb="46">
      <t>ガッチ</t>
    </rPh>
    <rPh sb="51" eb="53">
      <t>ケイサン</t>
    </rPh>
    <rPh sb="53" eb="55">
      <t>ジョウケン</t>
    </rPh>
    <rPh sb="56" eb="57">
      <t>モト</t>
    </rPh>
    <rPh sb="63" eb="65">
      <t>タイヘン</t>
    </rPh>
    <rPh sb="65" eb="67">
      <t>クロウ</t>
    </rPh>
    <phoneticPr fontId="1"/>
  </si>
  <si>
    <t>なんとか国が提示している省エネ量に合致する計算条件を想定することができましたが、ここで仮定した計算条件がどこまで国のものと一致するかは不明です（今後国がその詳細を提示するかも不明です）。</t>
    <rPh sb="4" eb="5">
      <t>クニ</t>
    </rPh>
    <rPh sb="6" eb="8">
      <t>テイジ</t>
    </rPh>
    <rPh sb="12" eb="13">
      <t>ショウ</t>
    </rPh>
    <rPh sb="15" eb="16">
      <t>リョウ</t>
    </rPh>
    <rPh sb="17" eb="19">
      <t>ガッチ</t>
    </rPh>
    <rPh sb="21" eb="23">
      <t>ケイサン</t>
    </rPh>
    <rPh sb="23" eb="25">
      <t>ジョウケン</t>
    </rPh>
    <rPh sb="26" eb="28">
      <t>ソウテイ</t>
    </rPh>
    <rPh sb="43" eb="45">
      <t>カテイ</t>
    </rPh>
    <rPh sb="47" eb="49">
      <t>ケイサン</t>
    </rPh>
    <rPh sb="49" eb="51">
      <t>ジョウケン</t>
    </rPh>
    <rPh sb="56" eb="57">
      <t>クニ</t>
    </rPh>
    <rPh sb="61" eb="63">
      <t>イッチ</t>
    </rPh>
    <rPh sb="67" eb="69">
      <t>フメイ</t>
    </rPh>
    <rPh sb="72" eb="74">
      <t>コンゴ</t>
    </rPh>
    <rPh sb="74" eb="75">
      <t>クニ</t>
    </rPh>
    <rPh sb="78" eb="80">
      <t>ショウサイ</t>
    </rPh>
    <rPh sb="81" eb="83">
      <t>テイジ</t>
    </rPh>
    <rPh sb="87" eb="89">
      <t>フメイ</t>
    </rPh>
    <phoneticPr fontId="1"/>
  </si>
  <si>
    <t>いずれにせよ大きくは間違っていないと思っていますので、ぜひこのプログラムを使って、どのような想定にすれば省エネ量がどう変化するかを試算してみてください。</t>
    <rPh sb="6" eb="7">
      <t>オオ</t>
    </rPh>
    <rPh sb="10" eb="12">
      <t>マチガ</t>
    </rPh>
    <rPh sb="18" eb="19">
      <t>オモ</t>
    </rPh>
    <rPh sb="37" eb="38">
      <t>ツカ</t>
    </rPh>
    <rPh sb="46" eb="48">
      <t>ソウテイ</t>
    </rPh>
    <rPh sb="52" eb="53">
      <t>ショウ</t>
    </rPh>
    <rPh sb="55" eb="56">
      <t>リョウ</t>
    </rPh>
    <rPh sb="59" eb="61">
      <t>ヘンカ</t>
    </rPh>
    <rPh sb="65" eb="67">
      <t>シサン</t>
    </rPh>
    <phoneticPr fontId="1"/>
  </si>
  <si>
    <t>住まいと環境社　野池政宏</t>
    <rPh sb="0" eb="1">
      <t>ス</t>
    </rPh>
    <rPh sb="8" eb="12">
      <t>ノイケ</t>
    </rPh>
    <phoneticPr fontId="1"/>
  </si>
  <si>
    <t>noisy@rouge.plala.or.jp</t>
    <phoneticPr fontId="1"/>
  </si>
  <si>
    <t>本プログラムの使い方</t>
    <rPh sb="0" eb="1">
      <t>ホン</t>
    </rPh>
    <rPh sb="7" eb="8">
      <t>ツカ</t>
    </rPh>
    <rPh sb="9" eb="10">
      <t>カタ</t>
    </rPh>
    <phoneticPr fontId="1"/>
  </si>
  <si>
    <t>入力は簡単です。</t>
    <rPh sb="0" eb="2">
      <t>ニュウリョク</t>
    </rPh>
    <rPh sb="3" eb="5">
      <t>カンタン</t>
    </rPh>
    <phoneticPr fontId="1"/>
  </si>
  <si>
    <t>黄色のセルは手入力するセルです。オレンジ色のセルはプルダウンメニューから選択するセルです。</t>
    <rPh sb="0" eb="2">
      <t>キイロ</t>
    </rPh>
    <rPh sb="6" eb="9">
      <t>テニュウリョク</t>
    </rPh>
    <rPh sb="20" eb="21">
      <t>イロ</t>
    </rPh>
    <rPh sb="36" eb="38">
      <t>センタク</t>
    </rPh>
    <phoneticPr fontId="1"/>
  </si>
  <si>
    <t>もしバグと思われる事象が発生したときや、私が想定した計算条件の詳細についてご質問があれば、以下にご連絡ください。</t>
    <rPh sb="5" eb="6">
      <t>オモ</t>
    </rPh>
    <rPh sb="9" eb="11">
      <t>ジショウ</t>
    </rPh>
    <rPh sb="12" eb="14">
      <t>ハッセイ</t>
    </rPh>
    <rPh sb="20" eb="21">
      <t>ワタシ</t>
    </rPh>
    <rPh sb="22" eb="24">
      <t>ソウテイ</t>
    </rPh>
    <rPh sb="26" eb="28">
      <t>ケイサン</t>
    </rPh>
    <rPh sb="28" eb="30">
      <t>ジョウケン</t>
    </rPh>
    <rPh sb="31" eb="33">
      <t>ショウサイ</t>
    </rPh>
    <rPh sb="38" eb="40">
      <t>シツモン</t>
    </rPh>
    <rPh sb="45" eb="47">
      <t>イカ</t>
    </rPh>
    <rPh sb="49" eb="51">
      <t>レンラク</t>
    </rPh>
    <phoneticPr fontId="1"/>
  </si>
  <si>
    <t>「○○の計算」という名前がついているシートが計算するためのシートになっています。</t>
    <rPh sb="4" eb="6">
      <t>ケイサン</t>
    </rPh>
    <rPh sb="10" eb="12">
      <t>ナマエ</t>
    </rPh>
    <rPh sb="22" eb="24">
      <t>ケイサン</t>
    </rPh>
    <phoneticPr fontId="1"/>
  </si>
  <si>
    <t>←「想定別一次エネ消費量」のシートを参照してください。</t>
    <rPh sb="2" eb="4">
      <t>ソウテイ</t>
    </rPh>
    <rPh sb="4" eb="5">
      <t>ベツ</t>
    </rPh>
    <rPh sb="5" eb="7">
      <t>イチジ</t>
    </rPh>
    <rPh sb="9" eb="12">
      <t>ショウヒリョウ</t>
    </rPh>
    <rPh sb="18" eb="20">
      <t>サンショウ</t>
    </rPh>
    <phoneticPr fontId="1"/>
  </si>
  <si>
    <t>万GJ</t>
    <rPh sb="0" eb="1">
      <t>マン</t>
    </rPh>
    <phoneticPr fontId="1"/>
  </si>
  <si>
    <t>2013年一次エネ（国交省）</t>
    <rPh sb="4" eb="5">
      <t>ネン</t>
    </rPh>
    <rPh sb="5" eb="7">
      <t>イチジ</t>
    </rPh>
    <rPh sb="10" eb="13">
      <t>コッコウショウ</t>
    </rPh>
    <phoneticPr fontId="1"/>
  </si>
  <si>
    <t>2013年一次エネ（実績）</t>
    <rPh sb="4" eb="5">
      <t>ネン</t>
    </rPh>
    <rPh sb="5" eb="7">
      <t>イチジ</t>
    </rPh>
    <rPh sb="10" eb="12">
      <t>ジッセキ</t>
    </rPh>
    <phoneticPr fontId="1"/>
  </si>
  <si>
    <t>PJ</t>
    <phoneticPr fontId="1"/>
  </si>
  <si>
    <t>https://www.env.go.jp/earth/ondanka/ghg-mrv/emissions/results/material/yoin_2015_2_7a.pdf</t>
  </si>
  <si>
    <t>％</t>
    <phoneticPr fontId="1"/>
  </si>
  <si>
    <t>2013年比</t>
    <rPh sb="4" eb="5">
      <t>ネン</t>
    </rPh>
    <rPh sb="5" eb="6">
      <t>ヒ</t>
    </rPh>
    <phoneticPr fontId="1"/>
  </si>
  <si>
    <t>2015年二次エネ（実績）</t>
    <rPh sb="4" eb="5">
      <t>ネン</t>
    </rPh>
    <rPh sb="5" eb="7">
      <t>ニジ</t>
    </rPh>
    <rPh sb="10" eb="12">
      <t>ジッセキ</t>
    </rPh>
    <phoneticPr fontId="1"/>
  </si>
  <si>
    <t>2013年二次エネ（実績）</t>
    <rPh sb="4" eb="5">
      <t>ネン</t>
    </rPh>
    <rPh sb="5" eb="7">
      <t>ニジ</t>
    </rPh>
    <rPh sb="10" eb="12">
      <t>ジッセキ</t>
    </rPh>
    <phoneticPr fontId="1"/>
  </si>
  <si>
    <t>2015年電力消費量</t>
    <rPh sb="4" eb="5">
      <t>ネン</t>
    </rPh>
    <rPh sb="5" eb="7">
      <t>デンリョク</t>
    </rPh>
    <rPh sb="7" eb="10">
      <t>ショウヒリョウ</t>
    </rPh>
    <phoneticPr fontId="1"/>
  </si>
  <si>
    <t>億kWh</t>
    <rPh sb="0" eb="1">
      <t>オク</t>
    </rPh>
    <phoneticPr fontId="1"/>
  </si>
  <si>
    <t>2013年電力消費量</t>
    <rPh sb="4" eb="5">
      <t>ネン</t>
    </rPh>
    <rPh sb="5" eb="7">
      <t>デンリョク</t>
    </rPh>
    <rPh sb="7" eb="10">
      <t>ショウヒリョウ</t>
    </rPh>
    <phoneticPr fontId="1"/>
  </si>
  <si>
    <t>2013年電力消費量（二次）</t>
    <rPh sb="4" eb="5">
      <t>ネン</t>
    </rPh>
    <rPh sb="5" eb="7">
      <t>デンリョク</t>
    </rPh>
    <rPh sb="7" eb="10">
      <t>ショウヒリョウ</t>
    </rPh>
    <rPh sb="11" eb="13">
      <t>ニジ</t>
    </rPh>
    <phoneticPr fontId="1"/>
  </si>
  <si>
    <t>億MJ</t>
    <rPh sb="0" eb="1">
      <t>オク</t>
    </rPh>
    <phoneticPr fontId="1"/>
  </si>
  <si>
    <t>2013年電力消費量（一次）</t>
    <rPh sb="4" eb="5">
      <t>ネン</t>
    </rPh>
    <rPh sb="5" eb="7">
      <t>デンリョク</t>
    </rPh>
    <rPh sb="7" eb="10">
      <t>ショウヒリョウ</t>
    </rPh>
    <rPh sb="11" eb="13">
      <t>イチジ</t>
    </rPh>
    <phoneticPr fontId="1"/>
  </si>
  <si>
    <t>2013電力以外（二次＝一次）</t>
    <rPh sb="4" eb="6">
      <t>デンリョク</t>
    </rPh>
    <rPh sb="6" eb="8">
      <t>イガイ</t>
    </rPh>
    <rPh sb="9" eb="11">
      <t>ニジ</t>
    </rPh>
    <rPh sb="12" eb="14">
      <t>イチジ</t>
    </rPh>
    <phoneticPr fontId="1"/>
  </si>
  <si>
    <t>国交省と実績の比率</t>
    <rPh sb="0" eb="3">
      <t>コッコウショウ</t>
    </rPh>
    <rPh sb="4" eb="6">
      <t>ジッセキ</t>
    </rPh>
    <rPh sb="7" eb="9">
      <t>ヒリツ</t>
    </rPh>
    <phoneticPr fontId="1"/>
  </si>
  <si>
    <t>1-1)の方法の場合は、2025年と2030年における新築戸数の割合を設定します。</t>
    <rPh sb="5" eb="7">
      <t>ホウホウ</t>
    </rPh>
    <rPh sb="8" eb="10">
      <t>バアイ</t>
    </rPh>
    <rPh sb="16" eb="17">
      <t>ネン</t>
    </rPh>
    <rPh sb="22" eb="23">
      <t>ネン</t>
    </rPh>
    <rPh sb="27" eb="29">
      <t>シンチク</t>
    </rPh>
    <rPh sb="29" eb="31">
      <t>コスウ</t>
    </rPh>
    <rPh sb="32" eb="34">
      <t>ワリアイ</t>
    </rPh>
    <rPh sb="35" eb="37">
      <t>セッテイ</t>
    </rPh>
    <phoneticPr fontId="1"/>
  </si>
  <si>
    <t>1-2)の方法の場合は、2022年、2025年、2030年における新築戸数の割合を設定します。</t>
    <rPh sb="5" eb="7">
      <t>ホウホウ</t>
    </rPh>
    <rPh sb="8" eb="10">
      <t>バアイ</t>
    </rPh>
    <rPh sb="16" eb="17">
      <t>ネン</t>
    </rPh>
    <rPh sb="22" eb="23">
      <t>ネン</t>
    </rPh>
    <rPh sb="28" eb="29">
      <t>ネン</t>
    </rPh>
    <rPh sb="33" eb="35">
      <t>シンチク</t>
    </rPh>
    <rPh sb="35" eb="37">
      <t>コスウ</t>
    </rPh>
    <rPh sb="38" eb="40">
      <t>ワリアイ</t>
    </rPh>
    <rPh sb="41" eb="43">
      <t>セッテイ</t>
    </rPh>
    <phoneticPr fontId="1"/>
  </si>
  <si>
    <t>※この2つの年のみの設定にする理由は、国交省がこの2つの年のみの新築戸数の割合を明らかにしているからです。</t>
    <rPh sb="6" eb="7">
      <t>トシ</t>
    </rPh>
    <rPh sb="10" eb="12">
      <t>セッテイ</t>
    </rPh>
    <rPh sb="15" eb="17">
      <t>リユウ</t>
    </rPh>
    <rPh sb="19" eb="22">
      <t>コッコウショウ</t>
    </rPh>
    <rPh sb="28" eb="29">
      <t>トシ</t>
    </rPh>
    <rPh sb="32" eb="34">
      <t>シンチク</t>
    </rPh>
    <rPh sb="34" eb="36">
      <t>コスウ</t>
    </rPh>
    <rPh sb="37" eb="39">
      <t>ワリアイ</t>
    </rPh>
    <rPh sb="40" eb="41">
      <t>アキ</t>
    </rPh>
    <phoneticPr fontId="1"/>
  </si>
  <si>
    <t>↓必ず合計が100になるように入力してください。</t>
    <rPh sb="1" eb="2">
      <t>カナラ</t>
    </rPh>
    <rPh sb="3" eb="5">
      <t>ゴウケイ</t>
    </rPh>
    <rPh sb="15" eb="17">
      <t>ニュウリョク</t>
    </rPh>
    <phoneticPr fontId="1"/>
  </si>
  <si>
    <t>2022年新築割合</t>
    <rPh sb="4" eb="5">
      <t>ネン</t>
    </rPh>
    <rPh sb="5" eb="7">
      <t>シンチク</t>
    </rPh>
    <rPh sb="7" eb="9">
      <t>ワリアイ</t>
    </rPh>
    <phoneticPr fontId="1"/>
  </si>
  <si>
    <t>2021年の性能別ストックを設定する</t>
    <rPh sb="4" eb="5">
      <t>ネン</t>
    </rPh>
    <rPh sb="6" eb="8">
      <t>セイノウ</t>
    </rPh>
    <rPh sb="8" eb="9">
      <t>ベツ</t>
    </rPh>
    <rPh sb="14" eb="16">
      <t>セッテイ</t>
    </rPh>
    <phoneticPr fontId="1"/>
  </si>
  <si>
    <t>2014年～2020年新築戸数</t>
    <rPh sb="4" eb="5">
      <t>ネン</t>
    </rPh>
    <rPh sb="10" eb="11">
      <t>ネン</t>
    </rPh>
    <rPh sb="11" eb="13">
      <t>シンチク</t>
    </rPh>
    <rPh sb="13" eb="15">
      <t>コスウ</t>
    </rPh>
    <phoneticPr fontId="1"/>
  </si>
  <si>
    <t>新築分</t>
    <rPh sb="0" eb="2">
      <t>シンチク</t>
    </rPh>
    <rPh sb="2" eb="3">
      <t>ブン</t>
    </rPh>
    <phoneticPr fontId="1"/>
  </si>
  <si>
    <t>自然減</t>
    <rPh sb="0" eb="3">
      <t>シゼンゲン</t>
    </rPh>
    <phoneticPr fontId="1"/>
  </si>
  <si>
    <t>年あたり</t>
    <rPh sb="0" eb="1">
      <t>ネン</t>
    </rPh>
    <phoneticPr fontId="1"/>
  </si>
  <si>
    <t>2021年まで</t>
    <rPh sb="4" eb="5">
      <t>ネン</t>
    </rPh>
    <phoneticPr fontId="1"/>
  </si>
  <si>
    <t>改修影響</t>
    <rPh sb="0" eb="2">
      <t>カイシュウ</t>
    </rPh>
    <rPh sb="2" eb="4">
      <t>エイキョウ</t>
    </rPh>
    <phoneticPr fontId="1"/>
  </si>
  <si>
    <t>新築分を振り分ける</t>
    <rPh sb="0" eb="2">
      <t>シンチク</t>
    </rPh>
    <rPh sb="2" eb="3">
      <t>ブン</t>
    </rPh>
    <rPh sb="4" eb="5">
      <t>フ</t>
    </rPh>
    <rPh sb="6" eb="7">
      <t>ワ</t>
    </rPh>
    <phoneticPr fontId="1"/>
  </si>
  <si>
    <t>ケース1</t>
    <phoneticPr fontId="1"/>
  </si>
  <si>
    <t>ケース2</t>
    <phoneticPr fontId="1"/>
  </si>
  <si>
    <t>ケース3</t>
    <phoneticPr fontId="1"/>
  </si>
  <si>
    <t>ケース4</t>
    <phoneticPr fontId="1"/>
  </si>
  <si>
    <t>2019年（2013年比）</t>
    <rPh sb="4" eb="5">
      <t>ネン</t>
    </rPh>
    <rPh sb="10" eb="11">
      <t>ネン</t>
    </rPh>
    <rPh sb="11" eb="12">
      <t>ヒ</t>
    </rPh>
    <phoneticPr fontId="1"/>
  </si>
  <si>
    <t>2022年～2030年自然減</t>
    <rPh sb="4" eb="5">
      <t>ネン</t>
    </rPh>
    <rPh sb="10" eb="11">
      <t>ネン</t>
    </rPh>
    <rPh sb="11" eb="14">
      <t>シゼンゲン</t>
    </rPh>
    <phoneticPr fontId="1"/>
  </si>
  <si>
    <t>2022年～2030年</t>
    <rPh sb="4" eb="5">
      <t>ネン</t>
    </rPh>
    <rPh sb="10" eb="11">
      <t>ネン</t>
    </rPh>
    <phoneticPr fontId="1"/>
  </si>
  <si>
    <t>2013年（二次）</t>
    <rPh sb="4" eb="5">
      <t>ネン</t>
    </rPh>
    <rPh sb="6" eb="8">
      <t>ニジ</t>
    </rPh>
    <phoneticPr fontId="1"/>
  </si>
  <si>
    <t>2019年(二次）</t>
    <rPh sb="4" eb="5">
      <t>ネン</t>
    </rPh>
    <rPh sb="6" eb="8">
      <t>ニジ</t>
    </rPh>
    <phoneticPr fontId="1"/>
  </si>
  <si>
    <t>2013年電力消費（二次）</t>
    <rPh sb="4" eb="5">
      <t>ネン</t>
    </rPh>
    <rPh sb="5" eb="7">
      <t>デンリョク</t>
    </rPh>
    <rPh sb="7" eb="9">
      <t>ショウヒ</t>
    </rPh>
    <rPh sb="10" eb="12">
      <t>ニジ</t>
    </rPh>
    <phoneticPr fontId="1"/>
  </si>
  <si>
    <t>2019年（一次）</t>
    <rPh sb="4" eb="5">
      <t>ネン</t>
    </rPh>
    <rPh sb="6" eb="8">
      <t>イチジ</t>
    </rPh>
    <phoneticPr fontId="1"/>
  </si>
  <si>
    <t>2019年電力以外（二次）</t>
    <rPh sb="4" eb="5">
      <t>ネン</t>
    </rPh>
    <rPh sb="5" eb="7">
      <t>デンリョク</t>
    </rPh>
    <rPh sb="7" eb="9">
      <t>イガイ</t>
    </rPh>
    <rPh sb="10" eb="12">
      <t>ニジ</t>
    </rPh>
    <phoneticPr fontId="1"/>
  </si>
  <si>
    <t>合計一次</t>
    <rPh sb="0" eb="2">
      <t>ゴウケイ</t>
    </rPh>
    <rPh sb="2" eb="4">
      <t>イチジ</t>
    </rPh>
    <phoneticPr fontId="1"/>
  </si>
  <si>
    <t>自然増（開発分）</t>
    <rPh sb="0" eb="2">
      <t>シゼン</t>
    </rPh>
    <rPh sb="2" eb="3">
      <t>ゾウ</t>
    </rPh>
    <rPh sb="4" eb="6">
      <t>カイハツ</t>
    </rPh>
    <rPh sb="6" eb="7">
      <t>ブン</t>
    </rPh>
    <phoneticPr fontId="1"/>
  </si>
  <si>
    <t>1年あたり</t>
    <rPh sb="1" eb="2">
      <t>ネン</t>
    </rPh>
    <phoneticPr fontId="1"/>
  </si>
  <si>
    <t>無断熱滅失</t>
    <rPh sb="0" eb="1">
      <t>ム</t>
    </rPh>
    <rPh sb="1" eb="3">
      <t>ダンネツ</t>
    </rPh>
    <rPh sb="3" eb="5">
      <t>メッシツ</t>
    </rPh>
    <phoneticPr fontId="1"/>
  </si>
  <si>
    <t>2021年まで新築</t>
    <rPh sb="4" eb="5">
      <t>ネン</t>
    </rPh>
    <rPh sb="7" eb="9">
      <t>シンチク</t>
    </rPh>
    <phoneticPr fontId="1"/>
  </si>
  <si>
    <t>①</t>
  </si>
  <si>
    <t>2021年一次エネ</t>
    <rPh sb="4" eb="5">
      <t>ネン</t>
    </rPh>
    <rPh sb="5" eb="7">
      <t>イチジ</t>
    </rPh>
    <phoneticPr fontId="1"/>
  </si>
  <si>
    <t>戸建て＋共同</t>
    <rPh sb="0" eb="2">
      <t>コダ</t>
    </rPh>
    <rPh sb="4" eb="6">
      <t>キョウドウ</t>
    </rPh>
    <phoneticPr fontId="1"/>
  </si>
  <si>
    <t>←悪くない</t>
    <rPh sb="1" eb="2">
      <t>ワル</t>
    </rPh>
    <phoneticPr fontId="1"/>
  </si>
  <si>
    <t>2）</t>
  </si>
  <si>
    <t>自然減</t>
    <rPh sb="0" eb="3">
      <t>シゼンゲン</t>
    </rPh>
    <phoneticPr fontId="1"/>
  </si>
  <si>
    <t>2021年ストック（新築のみ）</t>
    <rPh sb="4" eb="5">
      <t>ネン</t>
    </rPh>
    <rPh sb="10" eb="12">
      <t>シンチク</t>
    </rPh>
    <phoneticPr fontId="1"/>
  </si>
  <si>
    <t>2021年まで自然減</t>
    <rPh sb="4" eb="5">
      <t>ネン</t>
    </rPh>
    <rPh sb="7" eb="10">
      <t>シゼンゲン</t>
    </rPh>
    <phoneticPr fontId="1"/>
  </si>
  <si>
    <t>2021年まで改修影響</t>
    <rPh sb="4" eb="5">
      <t>ネン</t>
    </rPh>
    <rPh sb="7" eb="9">
      <t>カイシュウ</t>
    </rPh>
    <rPh sb="9" eb="11">
      <t>エイキョウ</t>
    </rPh>
    <phoneticPr fontId="1"/>
  </si>
  <si>
    <t>2021年ストック</t>
    <rPh sb="4" eb="5">
      <t>ネン</t>
    </rPh>
    <phoneticPr fontId="1"/>
  </si>
  <si>
    <t>一次エネ</t>
    <rPh sb="0" eb="2">
      <t>イチジ</t>
    </rPh>
    <phoneticPr fontId="1"/>
  </si>
  <si>
    <t>戸建て＋共同（再考後）</t>
    <rPh sb="0" eb="2">
      <t>コダ</t>
    </rPh>
    <rPh sb="4" eb="6">
      <t>キョウドウ</t>
    </rPh>
    <rPh sb="7" eb="9">
      <t>サイコウ</t>
    </rPh>
    <rPh sb="9" eb="10">
      <t>ゴ</t>
    </rPh>
    <phoneticPr fontId="1"/>
  </si>
  <si>
    <t>比率</t>
    <rPh sb="0" eb="2">
      <t>ヒリツ</t>
    </rPh>
    <phoneticPr fontId="1"/>
  </si>
  <si>
    <t>戸建て再考</t>
    <rPh sb="0" eb="2">
      <t>コダ</t>
    </rPh>
    <rPh sb="3" eb="5">
      <t>サイコウ</t>
    </rPh>
    <phoneticPr fontId="1"/>
  </si>
  <si>
    <t>2030年実際のストック</t>
    <rPh sb="4" eb="5">
      <t>ネン</t>
    </rPh>
    <rPh sb="5" eb="7">
      <t>ジッサイ</t>
    </rPh>
    <phoneticPr fontId="1"/>
  </si>
  <si>
    <t>自然増減戸数（2022年～2030年）</t>
    <rPh sb="0" eb="2">
      <t>シゼン</t>
    </rPh>
    <rPh sb="2" eb="4">
      <t>ゾウゲン</t>
    </rPh>
    <rPh sb="4" eb="6">
      <t>コスウ</t>
    </rPh>
    <rPh sb="11" eb="12">
      <t>ネン</t>
    </rPh>
    <rPh sb="17" eb="18">
      <t>ネン</t>
    </rPh>
    <phoneticPr fontId="1"/>
  </si>
  <si>
    <t>戸建て</t>
    <rPh sb="0" eb="2">
      <t>コダ</t>
    </rPh>
    <phoneticPr fontId="1"/>
  </si>
  <si>
    <t>共同</t>
    <rPh sb="0" eb="2">
      <t>キョウドウ</t>
    </rPh>
    <phoneticPr fontId="1"/>
  </si>
  <si>
    <t>差</t>
    <rPh sb="0" eb="1">
      <t>サ</t>
    </rPh>
    <phoneticPr fontId="1"/>
  </si>
  <si>
    <t>2021年まで</t>
    <rPh sb="4" eb="5">
      <t>ネン</t>
    </rPh>
    <phoneticPr fontId="1"/>
  </si>
  <si>
    <t>開発分</t>
    <rPh sb="0" eb="2">
      <t>カイハツ</t>
    </rPh>
    <rPh sb="2" eb="3">
      <t>ブン</t>
    </rPh>
    <phoneticPr fontId="1"/>
  </si>
  <si>
    <t>2022～2030年新築戸数</t>
    <rPh sb="9" eb="10">
      <t>ネン</t>
    </rPh>
    <rPh sb="10" eb="12">
      <t>シンチク</t>
    </rPh>
    <rPh sb="12" eb="14">
      <t>コスウ</t>
    </rPh>
    <phoneticPr fontId="1"/>
  </si>
  <si>
    <t>2022～2030年新築滅却戸数</t>
    <rPh sb="9" eb="10">
      <t>ネン</t>
    </rPh>
    <rPh sb="10" eb="12">
      <t>シンチク</t>
    </rPh>
    <rPh sb="12" eb="14">
      <t>メッキャク</t>
    </rPh>
    <rPh sb="14" eb="16">
      <t>コスウ</t>
    </rPh>
    <phoneticPr fontId="1"/>
  </si>
  <si>
    <t>開発分（自然増）</t>
    <rPh sb="0" eb="2">
      <t>カイハツ</t>
    </rPh>
    <rPh sb="2" eb="3">
      <t>ブン</t>
    </rPh>
    <rPh sb="4" eb="6">
      <t>シゼン</t>
    </rPh>
    <rPh sb="6" eb="7">
      <t>ゾウ</t>
    </rPh>
    <phoneticPr fontId="1"/>
  </si>
  <si>
    <t>滅失分</t>
    <rPh sb="0" eb="2">
      <t>メッシツ</t>
    </rPh>
    <rPh sb="2" eb="3">
      <t>ブン</t>
    </rPh>
    <phoneticPr fontId="1"/>
  </si>
  <si>
    <t>ここから一次エネ計算</t>
    <rPh sb="4" eb="6">
      <t>イチジ</t>
    </rPh>
    <rPh sb="8" eb="10">
      <t>ケイサン</t>
    </rPh>
    <phoneticPr fontId="1"/>
  </si>
  <si>
    <t>2021年ストックモデル</t>
    <rPh sb="4" eb="5">
      <t>ネン</t>
    </rPh>
    <phoneticPr fontId="1"/>
  </si>
  <si>
    <t>BEI0.65</t>
    <phoneticPr fontId="1"/>
  </si>
  <si>
    <t>2022年～2030年新築戸数</t>
    <rPh sb="4" eb="5">
      <t>ネン</t>
    </rPh>
    <rPh sb="10" eb="11">
      <t>ネン</t>
    </rPh>
    <rPh sb="11" eb="13">
      <t>シンチク</t>
    </rPh>
    <rPh sb="13" eb="15">
      <t>コスウ</t>
    </rPh>
    <phoneticPr fontId="1"/>
  </si>
  <si>
    <t>想定①</t>
    <rPh sb="0" eb="2">
      <t>ソウテイ</t>
    </rPh>
    <phoneticPr fontId="1"/>
  </si>
  <si>
    <t>想定②</t>
    <rPh sb="0" eb="2">
      <t>ソウテイ</t>
    </rPh>
    <phoneticPr fontId="1"/>
  </si>
  <si>
    <t>想定③</t>
    <rPh sb="0" eb="2">
      <t>ソウテイ</t>
    </rPh>
    <phoneticPr fontId="1"/>
  </si>
  <si>
    <t>2022年新築割合（新たなパターンのみ）</t>
    <rPh sb="4" eb="5">
      <t>ネン</t>
    </rPh>
    <rPh sb="5" eb="7">
      <t>シンチク</t>
    </rPh>
    <rPh sb="7" eb="9">
      <t>ワリアイ</t>
    </rPh>
    <rPh sb="10" eb="11">
      <t>アラ</t>
    </rPh>
    <phoneticPr fontId="1"/>
  </si>
  <si>
    <t>2022年～2030年新築部滅失</t>
    <rPh sb="4" eb="5">
      <t>ネン</t>
    </rPh>
    <rPh sb="10" eb="11">
      <t>ネン</t>
    </rPh>
    <rPh sb="11" eb="13">
      <t>シンチク</t>
    </rPh>
    <rPh sb="13" eb="14">
      <t>ブ</t>
    </rPh>
    <rPh sb="14" eb="16">
      <t>メッシツ</t>
    </rPh>
    <phoneticPr fontId="1"/>
  </si>
  <si>
    <t>2030年一次エネ</t>
    <rPh sb="4" eb="5">
      <t>ネン</t>
    </rPh>
    <rPh sb="5" eb="7">
      <t>イチジ</t>
    </rPh>
    <phoneticPr fontId="1"/>
  </si>
  <si>
    <t>初期設定では「全館空調補正係数＝0.7」としていますが、いくつかの全館空調システムのシミュレーション結果や実測データを参考に、標準的な全館空調の数値として予測したものです。</t>
    <rPh sb="0" eb="2">
      <t>ショキ</t>
    </rPh>
    <rPh sb="2" eb="4">
      <t>セッテイ</t>
    </rPh>
    <rPh sb="7" eb="9">
      <t>ゼンカン</t>
    </rPh>
    <rPh sb="9" eb="11">
      <t>クウチョウ</t>
    </rPh>
    <rPh sb="11" eb="13">
      <t>ホセイ</t>
    </rPh>
    <rPh sb="13" eb="15">
      <t>ケイスウ</t>
    </rPh>
    <rPh sb="33" eb="35">
      <t>ゼンカン</t>
    </rPh>
    <rPh sb="35" eb="37">
      <t>クウチョウ</t>
    </rPh>
    <rPh sb="50" eb="52">
      <t>ケッカ</t>
    </rPh>
    <rPh sb="53" eb="55">
      <t>ジッソク</t>
    </rPh>
    <rPh sb="59" eb="61">
      <t>サンコウ</t>
    </rPh>
    <rPh sb="63" eb="66">
      <t>ヒョウジュンテキ</t>
    </rPh>
    <rPh sb="67" eb="69">
      <t>ゼンカン</t>
    </rPh>
    <rPh sb="69" eb="71">
      <t>クウチョウ</t>
    </rPh>
    <rPh sb="72" eb="74">
      <t>スウチ</t>
    </rPh>
    <rPh sb="77" eb="79">
      <t>ヨソク</t>
    </rPh>
    <phoneticPr fontId="1"/>
  </si>
  <si>
    <t>国交省が提示している情報から予測した計算方法により、2022年～2030年までの新築戸建てによる省エネ量（原油換算）の計算を行います。</t>
    <rPh sb="0" eb="3">
      <t>コッコウショウ</t>
    </rPh>
    <rPh sb="4" eb="6">
      <t>テイジ</t>
    </rPh>
    <rPh sb="10" eb="12">
      <t>ジョウホウ</t>
    </rPh>
    <rPh sb="14" eb="16">
      <t>ヨソク</t>
    </rPh>
    <rPh sb="18" eb="20">
      <t>ケイサン</t>
    </rPh>
    <rPh sb="20" eb="22">
      <t>ホウホウ</t>
    </rPh>
    <rPh sb="30" eb="31">
      <t>ネン</t>
    </rPh>
    <rPh sb="36" eb="37">
      <t>ネン</t>
    </rPh>
    <rPh sb="40" eb="42">
      <t>シンチク</t>
    </rPh>
    <rPh sb="42" eb="44">
      <t>コダ</t>
    </rPh>
    <rPh sb="48" eb="49">
      <t>ショウ</t>
    </rPh>
    <rPh sb="51" eb="52">
      <t>リョウ</t>
    </rPh>
    <rPh sb="53" eb="55">
      <t>ゲンユ</t>
    </rPh>
    <rPh sb="55" eb="57">
      <t>カンサン</t>
    </rPh>
    <rPh sb="59" eb="61">
      <t>ケイサン</t>
    </rPh>
    <rPh sb="62" eb="63">
      <t>オコナ</t>
    </rPh>
    <phoneticPr fontId="1"/>
  </si>
  <si>
    <t>同じく、戸建て改修による省エネ量（原油換算）を計算します。入力するのは「改修戸数」「改修の想定」「改修比率」のみです。</t>
    <rPh sb="0" eb="1">
      <t>オナ</t>
    </rPh>
    <rPh sb="4" eb="6">
      <t>コダ</t>
    </rPh>
    <rPh sb="7" eb="9">
      <t>カイシュウ</t>
    </rPh>
    <rPh sb="12" eb="13">
      <t>ショウ</t>
    </rPh>
    <rPh sb="15" eb="16">
      <t>リョウ</t>
    </rPh>
    <rPh sb="17" eb="19">
      <t>ゲンユ</t>
    </rPh>
    <rPh sb="19" eb="21">
      <t>カンサン</t>
    </rPh>
    <rPh sb="23" eb="25">
      <t>ケイサン</t>
    </rPh>
    <rPh sb="29" eb="31">
      <t>ニュウリョク</t>
    </rPh>
    <rPh sb="36" eb="38">
      <t>カイシュウ</t>
    </rPh>
    <rPh sb="38" eb="40">
      <t>コスウ</t>
    </rPh>
    <rPh sb="42" eb="44">
      <t>カイシュウ</t>
    </rPh>
    <rPh sb="45" eb="47">
      <t>ソウテイ</t>
    </rPh>
    <rPh sb="49" eb="51">
      <t>カイシュウ</t>
    </rPh>
    <rPh sb="51" eb="53">
      <t>ヒリツ</t>
    </rPh>
    <phoneticPr fontId="1"/>
  </si>
  <si>
    <t>■2022年～2030年までの新築戸建てによる省エネ量（原油換算）の計算</t>
    <rPh sb="5" eb="6">
      <t>ネン</t>
    </rPh>
    <rPh sb="11" eb="12">
      <t>ネン</t>
    </rPh>
    <rPh sb="15" eb="17">
      <t>シンチク</t>
    </rPh>
    <rPh sb="17" eb="19">
      <t>コダ</t>
    </rPh>
    <rPh sb="23" eb="24">
      <t>ショウ</t>
    </rPh>
    <rPh sb="26" eb="27">
      <t>リョウ</t>
    </rPh>
    <rPh sb="28" eb="30">
      <t>ゲンユ</t>
    </rPh>
    <rPh sb="30" eb="32">
      <t>カンサン</t>
    </rPh>
    <rPh sb="34" eb="36">
      <t>ケイサン</t>
    </rPh>
    <phoneticPr fontId="1"/>
  </si>
  <si>
    <t>■2022年～2030年までの改修戸建てによる省エネ量（原油換算）計算</t>
    <rPh sb="5" eb="6">
      <t>ネン</t>
    </rPh>
    <rPh sb="11" eb="12">
      <t>ネン</t>
    </rPh>
    <rPh sb="15" eb="17">
      <t>カイシュウ</t>
    </rPh>
    <rPh sb="17" eb="19">
      <t>コダ</t>
    </rPh>
    <rPh sb="23" eb="24">
      <t>ショウ</t>
    </rPh>
    <rPh sb="26" eb="27">
      <t>リョウ</t>
    </rPh>
    <rPh sb="28" eb="30">
      <t>ゲンユ</t>
    </rPh>
    <rPh sb="30" eb="32">
      <t>カンサン</t>
    </rPh>
    <rPh sb="33" eb="35">
      <t>ケイサン</t>
    </rPh>
    <phoneticPr fontId="1"/>
  </si>
  <si>
    <t>1）の方法→この一次エネ消費量に基づいた計算を行うことになります。</t>
    <rPh sb="3" eb="5">
      <t>ホウホウ</t>
    </rPh>
    <rPh sb="8" eb="10">
      <t>イチジ</t>
    </rPh>
    <rPh sb="12" eb="15">
      <t>ショウヒリョウ</t>
    </rPh>
    <rPh sb="16" eb="17">
      <t>モト</t>
    </rPh>
    <rPh sb="20" eb="22">
      <t>ケイサン</t>
    </rPh>
    <rPh sb="23" eb="24">
      <t>オコナ</t>
    </rPh>
    <phoneticPr fontId="1"/>
  </si>
  <si>
    <r>
      <t>←想定する改修比率を入力します。</t>
    </r>
    <r>
      <rPr>
        <b/>
        <u/>
        <sz val="9"/>
        <color rgb="FFFF0000"/>
        <rFont val="游ゴシック"/>
        <family val="3"/>
        <charset val="128"/>
        <scheme val="minor"/>
      </rPr>
      <t>必ず「無断熱」と「S55」の比率は同じにしてください！</t>
    </r>
    <rPh sb="1" eb="3">
      <t>ソウテイ</t>
    </rPh>
    <rPh sb="5" eb="7">
      <t>カイシュウ</t>
    </rPh>
    <rPh sb="7" eb="9">
      <t>ヒリツ</t>
    </rPh>
    <rPh sb="10" eb="12">
      <t>ニュウリョク</t>
    </rPh>
    <rPh sb="16" eb="17">
      <t>カナラ</t>
    </rPh>
    <rPh sb="19" eb="20">
      <t>ム</t>
    </rPh>
    <rPh sb="20" eb="22">
      <t>ダンネツ</t>
    </rPh>
    <rPh sb="30" eb="32">
      <t>ヒリツ</t>
    </rPh>
    <rPh sb="33" eb="34">
      <t>オナ</t>
    </rPh>
    <phoneticPr fontId="1"/>
  </si>
  <si>
    <t>（←2019年～2022年が設定した割合として計算されます）</t>
    <rPh sb="6" eb="7">
      <t>ネン</t>
    </rPh>
    <rPh sb="12" eb="13">
      <t>ネン</t>
    </rPh>
    <rPh sb="14" eb="16">
      <t>セッテイ</t>
    </rPh>
    <rPh sb="18" eb="20">
      <t>ワリアイ</t>
    </rPh>
    <rPh sb="23" eb="25">
      <t>ケイサン</t>
    </rPh>
    <phoneticPr fontId="1"/>
  </si>
  <si>
    <t>給湯器と照明の設定について</t>
    <rPh sb="0" eb="3">
      <t>キュウトウキ</t>
    </rPh>
    <rPh sb="4" eb="6">
      <t>ショウメイ</t>
    </rPh>
    <rPh sb="7" eb="9">
      <t>セッテイ</t>
    </rPh>
    <phoneticPr fontId="1"/>
  </si>
  <si>
    <t>この「標準」に高効率給湯器（エコジョーズやエコキュート）を想定していないのは、この普及は経産省管轄であるとして国交省の省エネ量計算では除外されているからです。</t>
    <rPh sb="3" eb="5">
      <t>ヒョウジュン</t>
    </rPh>
    <rPh sb="7" eb="10">
      <t>コウコウリツ</t>
    </rPh>
    <rPh sb="10" eb="13">
      <t>キュウトウキ</t>
    </rPh>
    <rPh sb="29" eb="31">
      <t>ソウテイ</t>
    </rPh>
    <rPh sb="41" eb="43">
      <t>フキュウ</t>
    </rPh>
    <rPh sb="44" eb="47">
      <t>ケイサンショウ</t>
    </rPh>
    <rPh sb="47" eb="49">
      <t>カンカツ</t>
    </rPh>
    <rPh sb="55" eb="58">
      <t>コッコウショウ</t>
    </rPh>
    <rPh sb="59" eb="60">
      <t>ショウ</t>
    </rPh>
    <rPh sb="62" eb="63">
      <t>リョウ</t>
    </rPh>
    <rPh sb="63" eb="65">
      <t>ケイサン</t>
    </rPh>
    <rPh sb="67" eb="69">
      <t>ジョガイ</t>
    </rPh>
    <phoneticPr fontId="1"/>
  </si>
  <si>
    <t>1）省エネ量（原油換算）を計算する場合</t>
    <rPh sb="2" eb="3">
      <t>ショウ</t>
    </rPh>
    <rPh sb="5" eb="6">
      <t>リョウ</t>
    </rPh>
    <rPh sb="7" eb="9">
      <t>ゲンユ</t>
    </rPh>
    <rPh sb="9" eb="11">
      <t>カンサン</t>
    </rPh>
    <rPh sb="13" eb="15">
      <t>ケイサン</t>
    </rPh>
    <rPh sb="17" eb="19">
      <t>バアイ</t>
    </rPh>
    <phoneticPr fontId="1"/>
  </si>
  <si>
    <t>次に、照明の設定において「標準」としているのは、LEDの採用以外の省エネの工夫を想定したものです。</t>
    <rPh sb="0" eb="1">
      <t>ツギ</t>
    </rPh>
    <rPh sb="3" eb="5">
      <t>ショウメイ</t>
    </rPh>
    <rPh sb="6" eb="8">
      <t>セッテイ</t>
    </rPh>
    <rPh sb="13" eb="15">
      <t>ヒョウジュン</t>
    </rPh>
    <rPh sb="28" eb="30">
      <t>サイヨウ</t>
    </rPh>
    <rPh sb="30" eb="32">
      <t>イガイ</t>
    </rPh>
    <rPh sb="33" eb="34">
      <t>ショウ</t>
    </rPh>
    <rPh sb="37" eb="39">
      <t>クフウ</t>
    </rPh>
    <rPh sb="40" eb="42">
      <t>ソウテイ</t>
    </rPh>
    <phoneticPr fontId="1"/>
  </si>
  <si>
    <t>これもやはり、LEDの普及は経産省管轄として国交省の省エネ量計算では除外されているからです。</t>
    <rPh sb="11" eb="13">
      <t>フキュウ</t>
    </rPh>
    <rPh sb="14" eb="17">
      <t>ケイサンショウ</t>
    </rPh>
    <rPh sb="17" eb="19">
      <t>カンカツ</t>
    </rPh>
    <rPh sb="22" eb="25">
      <t>コッコウショウ</t>
    </rPh>
    <rPh sb="26" eb="27">
      <t>ショウ</t>
    </rPh>
    <rPh sb="29" eb="30">
      <t>リョウ</t>
    </rPh>
    <rPh sb="30" eb="32">
      <t>ケイサン</t>
    </rPh>
    <rPh sb="34" eb="36">
      <t>ジョガイ</t>
    </rPh>
    <phoneticPr fontId="1"/>
  </si>
  <si>
    <t>給湯器の設定において「標準」としているのは、「従来型ガス給湯器（モード熱効率：78.4%）」の想定に加え節湯機器等の最大限の省エネの工夫を行うという想定です。</t>
    <rPh sb="0" eb="3">
      <t>キュウトウキ</t>
    </rPh>
    <rPh sb="4" eb="6">
      <t>セッテイ</t>
    </rPh>
    <rPh sb="11" eb="13">
      <t>ヒョウジュン</t>
    </rPh>
    <rPh sb="23" eb="26">
      <t>ジュウライガタ</t>
    </rPh>
    <rPh sb="28" eb="31">
      <t>キュウトウキ</t>
    </rPh>
    <rPh sb="47" eb="49">
      <t>ソウテイ</t>
    </rPh>
    <rPh sb="50" eb="51">
      <t>クワ</t>
    </rPh>
    <rPh sb="52" eb="53">
      <t>セツ</t>
    </rPh>
    <rPh sb="53" eb="54">
      <t>ユ</t>
    </rPh>
    <rPh sb="54" eb="56">
      <t>キキ</t>
    </rPh>
    <rPh sb="56" eb="57">
      <t>トウ</t>
    </rPh>
    <rPh sb="58" eb="61">
      <t>サイダイゲン</t>
    </rPh>
    <rPh sb="62" eb="63">
      <t>ショウ</t>
    </rPh>
    <rPh sb="66" eb="68">
      <t>クフウ</t>
    </rPh>
    <rPh sb="69" eb="70">
      <t>オコナ</t>
    </rPh>
    <rPh sb="74" eb="76">
      <t>ソウテイ</t>
    </rPh>
    <phoneticPr fontId="1"/>
  </si>
  <si>
    <t>（※余談ですが、国交省が想定している「BEI＝0.65（一次エネ消費量：59.9GJ）」をクリアするにはハイブリッド給湯器の設置がほぼ必須になることが上表から見えてきます）</t>
    <rPh sb="2" eb="4">
      <t>ヨダン</t>
    </rPh>
    <rPh sb="8" eb="11">
      <t>コッコウショウ</t>
    </rPh>
    <rPh sb="12" eb="14">
      <t>ソウテイ</t>
    </rPh>
    <rPh sb="28" eb="30">
      <t>イチジ</t>
    </rPh>
    <rPh sb="32" eb="35">
      <t>ショウヒリョウ</t>
    </rPh>
    <rPh sb="58" eb="61">
      <t>キュウトウキ</t>
    </rPh>
    <rPh sb="62" eb="64">
      <t>セッチ</t>
    </rPh>
    <rPh sb="67" eb="69">
      <t>ヒッス</t>
    </rPh>
    <rPh sb="75" eb="77">
      <t>ジョウヒョウ</t>
    </rPh>
    <rPh sb="79" eb="80">
      <t>ミ</t>
    </rPh>
    <phoneticPr fontId="1"/>
  </si>
  <si>
    <t>2）2030年時点での一次エネルギー消費量を計算する場合</t>
    <rPh sb="6" eb="7">
      <t>ネン</t>
    </rPh>
    <rPh sb="7" eb="9">
      <t>ジテン</t>
    </rPh>
    <rPh sb="11" eb="13">
      <t>イチジ</t>
    </rPh>
    <rPh sb="18" eb="21">
      <t>ショウヒリョウ</t>
    </rPh>
    <rPh sb="22" eb="24">
      <t>ケイサン</t>
    </rPh>
    <rPh sb="26" eb="28">
      <t>バアイ</t>
    </rPh>
    <phoneticPr fontId="1"/>
  </si>
  <si>
    <t>そもそも本プログラムにおいてこの計算ができるようにしたのは、国交省の計算に基づく省エネ量（原油換算）を見るだけではなく、</t>
    <rPh sb="4" eb="5">
      <t>ホン</t>
    </rPh>
    <rPh sb="16" eb="18">
      <t>ケイサン</t>
    </rPh>
    <rPh sb="30" eb="33">
      <t>コッコウショウ</t>
    </rPh>
    <rPh sb="34" eb="36">
      <t>ケイサン</t>
    </rPh>
    <rPh sb="37" eb="38">
      <t>モト</t>
    </rPh>
    <rPh sb="40" eb="41">
      <t>ショウ</t>
    </rPh>
    <rPh sb="43" eb="44">
      <t>リョウ</t>
    </rPh>
    <rPh sb="45" eb="47">
      <t>ゲンユ</t>
    </rPh>
    <rPh sb="47" eb="49">
      <t>カンサン</t>
    </rPh>
    <rPh sb="51" eb="52">
      <t>ミ</t>
    </rPh>
    <phoneticPr fontId="1"/>
  </si>
  <si>
    <t>より実際的に「どんな新築戸建てを建てていき、どんな改修をすれば日本全体の戸建ての一次エネルギー消費量がどうなるか？」ということを見たい人が多いと考えたからです。</t>
    <rPh sb="64" eb="65">
      <t>ミ</t>
    </rPh>
    <rPh sb="67" eb="68">
      <t>ヒト</t>
    </rPh>
    <rPh sb="69" eb="70">
      <t>オオ</t>
    </rPh>
    <rPh sb="72" eb="73">
      <t>カンガ</t>
    </rPh>
    <phoneticPr fontId="1"/>
  </si>
  <si>
    <t>そう考えれば、ユーザーはエネルギー消費計算プログラム（建築研究所）で「実際を想定した入力（わざわざ高効率給湯器やLEDを除外しない入力）」をした結果に基づいた計算がしたいはずです。</t>
    <rPh sb="2" eb="3">
      <t>カンガ</t>
    </rPh>
    <rPh sb="17" eb="19">
      <t>ショウヒ</t>
    </rPh>
    <rPh sb="19" eb="21">
      <t>ケイサン</t>
    </rPh>
    <rPh sb="27" eb="29">
      <t>ケンチク</t>
    </rPh>
    <rPh sb="29" eb="32">
      <t>ケンキュウショ</t>
    </rPh>
    <rPh sb="35" eb="37">
      <t>ジッサイ</t>
    </rPh>
    <rPh sb="38" eb="40">
      <t>ソウテイ</t>
    </rPh>
    <rPh sb="42" eb="44">
      <t>ニュウリョク</t>
    </rPh>
    <rPh sb="49" eb="52">
      <t>コウコウリツ</t>
    </rPh>
    <rPh sb="52" eb="55">
      <t>キュウトウキ</t>
    </rPh>
    <rPh sb="60" eb="62">
      <t>ジョガイ</t>
    </rPh>
    <rPh sb="65" eb="67">
      <t>ニュウリョク</t>
    </rPh>
    <rPh sb="72" eb="74">
      <t>ケッカ</t>
    </rPh>
    <rPh sb="75" eb="76">
      <t>モト</t>
    </rPh>
    <rPh sb="79" eb="81">
      <t>ケイサン</t>
    </rPh>
    <phoneticPr fontId="1"/>
  </si>
  <si>
    <t>ということで、この計算においては「標準」を「給湯器：エコキュート、照明：LED」として設定しています。</t>
    <rPh sb="9" eb="11">
      <t>ケイサン</t>
    </rPh>
    <rPh sb="17" eb="19">
      <t>ヒョウジュン</t>
    </rPh>
    <rPh sb="22" eb="25">
      <t>キュウトウキ</t>
    </rPh>
    <rPh sb="33" eb="35">
      <t>ショウメイ</t>
    </rPh>
    <rPh sb="43" eb="45">
      <t>セッテイ</t>
    </rPh>
    <phoneticPr fontId="1"/>
  </si>
  <si>
    <t>参考のために、以下に「省エネ量計算」もしくは「一次エネ計算」のいずれかを選択してみてください。それに従って上表の「標準」の数値が変化します。</t>
    <rPh sb="0" eb="2">
      <t>サンコウ</t>
    </rPh>
    <rPh sb="7" eb="9">
      <t>イカ</t>
    </rPh>
    <rPh sb="11" eb="12">
      <t>ショウ</t>
    </rPh>
    <rPh sb="14" eb="15">
      <t>リョウ</t>
    </rPh>
    <rPh sb="15" eb="17">
      <t>ケイサン</t>
    </rPh>
    <rPh sb="23" eb="25">
      <t>イチジ</t>
    </rPh>
    <rPh sb="27" eb="29">
      <t>ケイサン</t>
    </rPh>
    <rPh sb="36" eb="38">
      <t>センタク</t>
    </rPh>
    <rPh sb="50" eb="51">
      <t>シタガ</t>
    </rPh>
    <rPh sb="53" eb="55">
      <t>ジョウヒョウ</t>
    </rPh>
    <rPh sb="57" eb="59">
      <t>ヒョウジュン</t>
    </rPh>
    <rPh sb="61" eb="63">
      <t>スウチ</t>
    </rPh>
    <rPh sb="64" eb="66">
      <t>ヘンカ</t>
    </rPh>
    <phoneticPr fontId="1"/>
  </si>
  <si>
    <t>（※国交省が想定している戸あたりの一次エネ消費量は、建築研究所のサイトにある技術情報に記載の「基準一次エネルギー消費量」がベースになっていることもほぼ明らかです）</t>
    <rPh sb="2" eb="5">
      <t>コッコウショウ</t>
    </rPh>
    <rPh sb="6" eb="8">
      <t>ソウテイ</t>
    </rPh>
    <rPh sb="12" eb="13">
      <t>コ</t>
    </rPh>
    <rPh sb="17" eb="19">
      <t>イチジ</t>
    </rPh>
    <rPh sb="21" eb="24">
      <t>ショウヒリョウ</t>
    </rPh>
    <rPh sb="26" eb="28">
      <t>ケンチク</t>
    </rPh>
    <rPh sb="28" eb="31">
      <t>ケンキュウショ</t>
    </rPh>
    <rPh sb="38" eb="40">
      <t>ギジュツ</t>
    </rPh>
    <rPh sb="40" eb="42">
      <t>ジョウホウ</t>
    </rPh>
    <rPh sb="43" eb="45">
      <t>キサイ</t>
    </rPh>
    <rPh sb="47" eb="49">
      <t>キジュン</t>
    </rPh>
    <rPh sb="49" eb="51">
      <t>イチジ</t>
    </rPh>
    <rPh sb="56" eb="59">
      <t>ショウヒリョウ</t>
    </rPh>
    <rPh sb="75" eb="76">
      <t>アキ</t>
    </rPh>
    <phoneticPr fontId="1"/>
  </si>
  <si>
    <t>計算方法の設定</t>
    <rPh sb="0" eb="2">
      <t>ケイサン</t>
    </rPh>
    <rPh sb="2" eb="4">
      <t>ホウホウ</t>
    </rPh>
    <rPh sb="5" eb="7">
      <t>セッテイ</t>
    </rPh>
    <phoneticPr fontId="1"/>
  </si>
  <si>
    <t>省エネ量計算</t>
    <rPh sb="0" eb="1">
      <t>ショウ</t>
    </rPh>
    <rPh sb="3" eb="4">
      <t>リョウ</t>
    </rPh>
    <rPh sb="4" eb="6">
      <t>ケイサン</t>
    </rPh>
    <phoneticPr fontId="1"/>
  </si>
  <si>
    <t>一次エネ計算</t>
    <rPh sb="0" eb="2">
      <t>イチジ</t>
    </rPh>
    <rPh sb="4" eb="6">
      <t>ケイサン</t>
    </rPh>
    <phoneticPr fontId="1"/>
  </si>
  <si>
    <t>←設定を変えてみてください。</t>
    <rPh sb="1" eb="3">
      <t>セッテイ</t>
    </rPh>
    <rPh sb="4" eb="5">
      <t>カ</t>
    </rPh>
    <phoneticPr fontId="1"/>
  </si>
  <si>
    <t>新築戸建ての性能の設定方法</t>
    <rPh sb="0" eb="2">
      <t>シンチク</t>
    </rPh>
    <rPh sb="2" eb="4">
      <t>コダ</t>
    </rPh>
    <rPh sb="6" eb="8">
      <t>セイノウ</t>
    </rPh>
    <rPh sb="9" eb="11">
      <t>セッテイ</t>
    </rPh>
    <rPh sb="11" eb="13">
      <t>ホウホウ</t>
    </rPh>
    <phoneticPr fontId="1"/>
  </si>
  <si>
    <t>2022年</t>
    <rPh sb="4" eb="5">
      <t>ネン</t>
    </rPh>
    <phoneticPr fontId="1"/>
  </si>
  <si>
    <t>2025年</t>
    <rPh sb="4" eb="5">
      <t>ネン</t>
    </rPh>
    <phoneticPr fontId="1"/>
  </si>
  <si>
    <t>2030年</t>
    <rPh sb="4" eb="5">
      <t>ネン</t>
    </rPh>
    <phoneticPr fontId="1"/>
  </si>
  <si>
    <t>一次エネ</t>
    <rPh sb="0" eb="2">
      <t>イチジ</t>
    </rPh>
    <phoneticPr fontId="1"/>
  </si>
  <si>
    <t>新築戸建ての戸数割合の設定</t>
    <rPh sb="0" eb="2">
      <t>シンチク</t>
    </rPh>
    <rPh sb="2" eb="4">
      <t>コダ</t>
    </rPh>
    <rPh sb="6" eb="8">
      <t>コスウ</t>
    </rPh>
    <rPh sb="8" eb="10">
      <t>ワリアイ</t>
    </rPh>
    <rPh sb="11" eb="13">
      <t>セッテイ</t>
    </rPh>
    <phoneticPr fontId="1"/>
  </si>
  <si>
    <t>「新たなパターン」の場合の設定</t>
    <rPh sb="1" eb="2">
      <t>アラ</t>
    </rPh>
    <rPh sb="10" eb="12">
      <t>バアイ</t>
    </rPh>
    <rPh sb="13" eb="15">
      <t>セッテイ</t>
    </rPh>
    <phoneticPr fontId="1"/>
  </si>
  <si>
    <t>UA値</t>
    <rPh sb="2" eb="3">
      <t>チ</t>
    </rPh>
    <phoneticPr fontId="1"/>
  </si>
  <si>
    <t>全館空調補正係数</t>
    <rPh sb="0" eb="2">
      <t>ゼンカン</t>
    </rPh>
    <rPh sb="2" eb="4">
      <t>クウチョウ</t>
    </rPh>
    <rPh sb="4" eb="6">
      <t>ホセイ</t>
    </rPh>
    <rPh sb="6" eb="8">
      <t>ケイスウ</t>
    </rPh>
    <phoneticPr fontId="1"/>
  </si>
  <si>
    <t>改修戸建ての設定</t>
    <rPh sb="0" eb="2">
      <t>カイシュウ</t>
    </rPh>
    <rPh sb="2" eb="4">
      <t>コダ</t>
    </rPh>
    <rPh sb="6" eb="8">
      <t>セッテイ</t>
    </rPh>
    <phoneticPr fontId="1"/>
  </si>
  <si>
    <t>2022年以降の改修戸数</t>
    <rPh sb="4" eb="5">
      <t>ネン</t>
    </rPh>
    <rPh sb="5" eb="7">
      <t>イコウ</t>
    </rPh>
    <rPh sb="8" eb="10">
      <t>カイシュウ</t>
    </rPh>
    <rPh sb="10" eb="12">
      <t>コスウ</t>
    </rPh>
    <phoneticPr fontId="1"/>
  </si>
  <si>
    <t>GJ/年・戸</t>
    <rPh sb="3" eb="4">
      <t>ネン</t>
    </rPh>
    <rPh sb="5" eb="6">
      <t>コ</t>
    </rPh>
    <phoneticPr fontId="1"/>
  </si>
  <si>
    <t>％</t>
    <phoneticPr fontId="1"/>
  </si>
  <si>
    <t>万戸/年</t>
    <rPh sb="0" eb="2">
      <t>マンコ</t>
    </rPh>
    <rPh sb="3" eb="4">
      <t>ネン</t>
    </rPh>
    <phoneticPr fontId="1"/>
  </si>
  <si>
    <t>改修の想定</t>
    <rPh sb="0" eb="2">
      <t>カイシュウ</t>
    </rPh>
    <rPh sb="3" eb="5">
      <t>ソウテイ</t>
    </rPh>
    <phoneticPr fontId="1"/>
  </si>
  <si>
    <t>改修比率</t>
    <rPh sb="0" eb="2">
      <t>カイシュウ</t>
    </rPh>
    <rPh sb="2" eb="4">
      <t>ヒリツ</t>
    </rPh>
    <phoneticPr fontId="1"/>
  </si>
  <si>
    <t>無断熱</t>
    <rPh sb="0" eb="1">
      <t>ム</t>
    </rPh>
    <rPh sb="1" eb="3">
      <t>ダンネツ</t>
    </rPh>
    <phoneticPr fontId="1"/>
  </si>
  <si>
    <t>＜入力内容＞</t>
    <rPh sb="1" eb="3">
      <t>ニュウリョク</t>
    </rPh>
    <rPh sb="3" eb="5">
      <t>ナイヨウ</t>
    </rPh>
    <phoneticPr fontId="1"/>
  </si>
  <si>
    <t>＜計算結果＞</t>
    <rPh sb="1" eb="3">
      <t>ケイサン</t>
    </rPh>
    <rPh sb="3" eb="5">
      <t>ケッカ</t>
    </rPh>
    <phoneticPr fontId="1"/>
  </si>
  <si>
    <t>入力名称</t>
    <rPh sb="0" eb="2">
      <t>ニュウリョク</t>
    </rPh>
    <rPh sb="2" eb="4">
      <t>メイショウ</t>
    </rPh>
    <phoneticPr fontId="1"/>
  </si>
  <si>
    <t>←必要に応じて記載してください。</t>
    <rPh sb="1" eb="3">
      <t>ヒツヨウ</t>
    </rPh>
    <rPh sb="4" eb="5">
      <t>オウ</t>
    </rPh>
    <rPh sb="7" eb="9">
      <t>キサイ</t>
    </rPh>
    <phoneticPr fontId="1"/>
  </si>
  <si>
    <t>ケース1</t>
    <phoneticPr fontId="1"/>
  </si>
  <si>
    <t>この計算をする</t>
    <rPh sb="2" eb="4">
      <t>ケイサン</t>
    </rPh>
    <phoneticPr fontId="1"/>
  </si>
  <si>
    <t>後で計算する</t>
    <rPh sb="0" eb="1">
      <t>アト</t>
    </rPh>
    <rPh sb="2" eb="4">
      <t>ケイサン</t>
    </rPh>
    <phoneticPr fontId="1"/>
  </si>
  <si>
    <t>省エネ量計算用</t>
    <rPh sb="0" eb="1">
      <t>ショウ</t>
    </rPh>
    <rPh sb="3" eb="4">
      <t>リョウ</t>
    </rPh>
    <rPh sb="4" eb="6">
      <t>ケイサン</t>
    </rPh>
    <rPh sb="6" eb="7">
      <t>ヨウ</t>
    </rPh>
    <phoneticPr fontId="1"/>
  </si>
  <si>
    <t>■2030年時点での一次エネルギー消費量の計算（戸建て）</t>
    <rPh sb="5" eb="6">
      <t>ネン</t>
    </rPh>
    <rPh sb="6" eb="8">
      <t>ジテン</t>
    </rPh>
    <rPh sb="10" eb="12">
      <t>イチジ</t>
    </rPh>
    <rPh sb="17" eb="20">
      <t>ショウヒリョウ</t>
    </rPh>
    <rPh sb="21" eb="23">
      <t>ケイサン</t>
    </rPh>
    <rPh sb="24" eb="26">
      <t>コダ</t>
    </rPh>
    <phoneticPr fontId="1"/>
  </si>
  <si>
    <t>この計算を行う場合は、下の設定を「この計算をする」にしてください。</t>
  </si>
  <si>
    <t>戸当たり一次エネ【GJ/戸・年】</t>
    <rPh sb="0" eb="1">
      <t>コ</t>
    </rPh>
    <rPh sb="1" eb="2">
      <t>ア</t>
    </rPh>
    <rPh sb="4" eb="6">
      <t>イチジ</t>
    </rPh>
    <rPh sb="12" eb="13">
      <t>コ</t>
    </rPh>
    <rPh sb="14" eb="15">
      <t>ネン</t>
    </rPh>
    <phoneticPr fontId="1"/>
  </si>
  <si>
    <t>戸建て数【万戸】</t>
    <rPh sb="0" eb="2">
      <t>コダ</t>
    </rPh>
    <rPh sb="3" eb="4">
      <t>スウ</t>
    </rPh>
    <rPh sb="5" eb="6">
      <t>マン</t>
    </rPh>
    <rPh sb="6" eb="7">
      <t>コ</t>
    </rPh>
    <phoneticPr fontId="1"/>
  </si>
  <si>
    <t>性能別一次エネ【万GJ/年】</t>
    <rPh sb="0" eb="2">
      <t>セイノウ</t>
    </rPh>
    <rPh sb="2" eb="3">
      <t>ベツ</t>
    </rPh>
    <rPh sb="3" eb="5">
      <t>イチジ</t>
    </rPh>
    <rPh sb="8" eb="9">
      <t>マン</t>
    </rPh>
    <rPh sb="12" eb="13">
      <t>ネン</t>
    </rPh>
    <phoneticPr fontId="1"/>
  </si>
  <si>
    <t>億GJ</t>
    <rPh sb="0" eb="1">
      <t>オク</t>
    </rPh>
    <phoneticPr fontId="1"/>
  </si>
  <si>
    <t>2030年での一次エネ消費量合計（戸建て）</t>
    <rPh sb="4" eb="5">
      <t>ネン</t>
    </rPh>
    <rPh sb="7" eb="9">
      <t>イチジ</t>
    </rPh>
    <rPh sb="11" eb="14">
      <t>ショウヒリョウ</t>
    </rPh>
    <rPh sb="14" eb="16">
      <t>ゴウケイ</t>
    </rPh>
    <rPh sb="17" eb="19">
      <t>コダ</t>
    </rPh>
    <phoneticPr fontId="1"/>
  </si>
  <si>
    <t>このプログラムは、上のプログラムでユーザーが設定した新築と改修の内容に基づき、2030年時点での戸建て全体の一次エネルギー消費量を計算するものです。</t>
    <rPh sb="9" eb="10">
      <t>ウエ</t>
    </rPh>
    <rPh sb="22" eb="24">
      <t>セッテイ</t>
    </rPh>
    <rPh sb="26" eb="28">
      <t>シンチク</t>
    </rPh>
    <rPh sb="29" eb="31">
      <t>カイシュウ</t>
    </rPh>
    <rPh sb="32" eb="34">
      <t>ナイヨウ</t>
    </rPh>
    <rPh sb="35" eb="36">
      <t>モト</t>
    </rPh>
    <rPh sb="43" eb="44">
      <t>ネン</t>
    </rPh>
    <rPh sb="44" eb="46">
      <t>ジテン</t>
    </rPh>
    <rPh sb="48" eb="50">
      <t>コダ</t>
    </rPh>
    <rPh sb="51" eb="53">
      <t>ゼンタイ</t>
    </rPh>
    <rPh sb="54" eb="56">
      <t>イチジ</t>
    </rPh>
    <rPh sb="61" eb="64">
      <t>ショウヒリョウ</t>
    </rPh>
    <rPh sb="65" eb="67">
      <t>ケイサン</t>
    </rPh>
    <phoneticPr fontId="1"/>
  </si>
  <si>
    <t>■2050年時点での一次エネルギー消費量の計算（戸建て）</t>
    <rPh sb="5" eb="6">
      <t>ネン</t>
    </rPh>
    <rPh sb="6" eb="8">
      <t>ジテン</t>
    </rPh>
    <rPh sb="10" eb="12">
      <t>イチジ</t>
    </rPh>
    <rPh sb="17" eb="20">
      <t>ショウヒリョウ</t>
    </rPh>
    <rPh sb="21" eb="23">
      <t>ケイサン</t>
    </rPh>
    <rPh sb="24" eb="26">
      <t>コダ</t>
    </rPh>
    <phoneticPr fontId="1"/>
  </si>
  <si>
    <t>ここから2030年までの計算シート</t>
    <rPh sb="8" eb="9">
      <t>ネン</t>
    </rPh>
    <rPh sb="12" eb="14">
      <t>ケイサン</t>
    </rPh>
    <phoneticPr fontId="1"/>
  </si>
  <si>
    <t>ここから2031年～2050年までの計算シート</t>
    <rPh sb="8" eb="9">
      <t>ネン</t>
    </rPh>
    <rPh sb="14" eb="15">
      <t>ネン</t>
    </rPh>
    <rPh sb="18" eb="20">
      <t>ケイサン</t>
    </rPh>
    <phoneticPr fontId="1"/>
  </si>
  <si>
    <t>※この計算を行った場合は上の計算結果が変わって不正確になる場合があることにご注意ください（この計算を行う前に「総合結果表示（省エネ量）」を印刷・保存することをお勧めします）。</t>
    <rPh sb="3" eb="5">
      <t>ケイサン</t>
    </rPh>
    <rPh sb="6" eb="7">
      <t>オコナ</t>
    </rPh>
    <rPh sb="9" eb="11">
      <t>バアイ</t>
    </rPh>
    <rPh sb="12" eb="13">
      <t>ウエ</t>
    </rPh>
    <rPh sb="14" eb="16">
      <t>ケイサン</t>
    </rPh>
    <rPh sb="16" eb="18">
      <t>ケッカ</t>
    </rPh>
    <rPh sb="19" eb="20">
      <t>カ</t>
    </rPh>
    <rPh sb="23" eb="26">
      <t>フセイカク</t>
    </rPh>
    <rPh sb="29" eb="31">
      <t>バアイ</t>
    </rPh>
    <rPh sb="38" eb="40">
      <t>チュウイ</t>
    </rPh>
    <rPh sb="47" eb="49">
      <t>ケイサン</t>
    </rPh>
    <rPh sb="50" eb="51">
      <t>オコナ</t>
    </rPh>
    <rPh sb="52" eb="53">
      <t>マエ</t>
    </rPh>
    <rPh sb="55" eb="57">
      <t>ソウゴウ</t>
    </rPh>
    <rPh sb="57" eb="59">
      <t>ケッカ</t>
    </rPh>
    <rPh sb="59" eb="61">
      <t>ヒョウジ</t>
    </rPh>
    <rPh sb="62" eb="63">
      <t>ショウ</t>
    </rPh>
    <rPh sb="65" eb="66">
      <t>リョウ</t>
    </rPh>
    <rPh sb="69" eb="71">
      <t>インサツ</t>
    </rPh>
    <rPh sb="72" eb="74">
      <t>ホゾン</t>
    </rPh>
    <rPh sb="80" eb="81">
      <t>スス</t>
    </rPh>
    <phoneticPr fontId="1"/>
  </si>
  <si>
    <t>解説のためのメモ</t>
    <rPh sb="0" eb="2">
      <t>カイセツ</t>
    </rPh>
    <phoneticPr fontId="1"/>
  </si>
  <si>
    <t>各断熱レベルでのエネルギー計算に使用した外皮性能</t>
    <rPh sb="0" eb="1">
      <t>カク</t>
    </rPh>
    <rPh sb="1" eb="3">
      <t>ダンネツ</t>
    </rPh>
    <rPh sb="13" eb="15">
      <t>ケイサン</t>
    </rPh>
    <rPh sb="16" eb="18">
      <t>シヨウ</t>
    </rPh>
    <rPh sb="20" eb="22">
      <t>ガイヒ</t>
    </rPh>
    <rPh sb="22" eb="24">
      <t>セイノウ</t>
    </rPh>
    <phoneticPr fontId="1"/>
  </si>
  <si>
    <t>ηAC</t>
    <phoneticPr fontId="1"/>
  </si>
  <si>
    <t>ηAH</t>
    <phoneticPr fontId="1"/>
  </si>
  <si>
    <t>エネルギー計算に使用した第3種換気の比消費電力</t>
    <rPh sb="5" eb="7">
      <t>ケイサン</t>
    </rPh>
    <rPh sb="8" eb="10">
      <t>シヨウ</t>
    </rPh>
    <rPh sb="12" eb="13">
      <t>ダイ</t>
    </rPh>
    <rPh sb="14" eb="15">
      <t>シュ</t>
    </rPh>
    <rPh sb="15" eb="17">
      <t>カンキ</t>
    </rPh>
    <rPh sb="18" eb="19">
      <t>ヒ</t>
    </rPh>
    <rPh sb="19" eb="21">
      <t>ショウヒ</t>
    </rPh>
    <rPh sb="21" eb="23">
      <t>デンリョク</t>
    </rPh>
    <phoneticPr fontId="1"/>
  </si>
  <si>
    <t>エネルギー計算に使用した第1種熱交換型換気扇の入力</t>
    <rPh sb="5" eb="7">
      <t>ケイサン</t>
    </rPh>
    <rPh sb="8" eb="10">
      <t>シヨウ</t>
    </rPh>
    <rPh sb="12" eb="13">
      <t>ダイ</t>
    </rPh>
    <rPh sb="14" eb="15">
      <t>シュ</t>
    </rPh>
    <rPh sb="15" eb="16">
      <t>ネツ</t>
    </rPh>
    <rPh sb="16" eb="19">
      <t>コウカンガタ</t>
    </rPh>
    <rPh sb="19" eb="22">
      <t>カンキセン</t>
    </rPh>
    <rPh sb="23" eb="25">
      <t>ニュウリョク</t>
    </rPh>
    <phoneticPr fontId="1"/>
  </si>
  <si>
    <t>比消費電力</t>
    <rPh sb="0" eb="1">
      <t>ヒ</t>
    </rPh>
    <rPh sb="1" eb="3">
      <t>ショウヒ</t>
    </rPh>
    <rPh sb="3" eb="5">
      <t>デンリョク</t>
    </rPh>
    <phoneticPr fontId="1"/>
  </si>
  <si>
    <t>入力しない</t>
    <rPh sb="0" eb="2">
      <t>ニュウリョク</t>
    </rPh>
    <phoneticPr fontId="1"/>
  </si>
  <si>
    <t>省エネルギー手法</t>
    <rPh sb="0" eb="1">
      <t>ショウ</t>
    </rPh>
    <rPh sb="6" eb="8">
      <t>シュホウ</t>
    </rPh>
    <phoneticPr fontId="1"/>
  </si>
  <si>
    <t>径の太いダクト＆DCモーター</t>
    <rPh sb="0" eb="1">
      <t>ケイ</t>
    </rPh>
    <rPh sb="2" eb="3">
      <t>フト</t>
    </rPh>
    <phoneticPr fontId="1"/>
  </si>
  <si>
    <t>温度交換効率</t>
    <rPh sb="0" eb="2">
      <t>オンド</t>
    </rPh>
    <rPh sb="2" eb="4">
      <t>コウカン</t>
    </rPh>
    <rPh sb="4" eb="6">
      <t>コウリツ</t>
    </rPh>
    <phoneticPr fontId="1"/>
  </si>
  <si>
    <t>給排気温度交換効率補正係数</t>
    <rPh sb="0" eb="3">
      <t>キュウハイキ</t>
    </rPh>
    <rPh sb="3" eb="5">
      <t>オンド</t>
    </rPh>
    <rPh sb="5" eb="7">
      <t>コウカン</t>
    </rPh>
    <rPh sb="7" eb="9">
      <t>コウリツ</t>
    </rPh>
    <rPh sb="9" eb="11">
      <t>ホセイ</t>
    </rPh>
    <rPh sb="11" eb="13">
      <t>ケイスウ</t>
    </rPh>
    <phoneticPr fontId="1"/>
  </si>
  <si>
    <t>排気過多時温度交換効率補正係数</t>
    <rPh sb="0" eb="2">
      <t>ハイキ</t>
    </rPh>
    <rPh sb="2" eb="4">
      <t>カタ</t>
    </rPh>
    <rPh sb="4" eb="5">
      <t>ジ</t>
    </rPh>
    <rPh sb="5" eb="7">
      <t>オンド</t>
    </rPh>
    <rPh sb="7" eb="9">
      <t>コウカン</t>
    </rPh>
    <rPh sb="9" eb="11">
      <t>コウリツ</t>
    </rPh>
    <rPh sb="11" eb="13">
      <t>ホセイ</t>
    </rPh>
    <rPh sb="13" eb="15">
      <t>ケイスウ</t>
    </rPh>
    <phoneticPr fontId="1"/>
  </si>
  <si>
    <t>3つパターンの想定を行います。同じ想定を複数設定しても構いません。たとえば1つのパターンのみに設定したいのであれば、すべて同じ設定にすればよいわけです。</t>
    <rPh sb="7" eb="9">
      <t>ソウテイ</t>
    </rPh>
    <rPh sb="10" eb="11">
      <t>オコナ</t>
    </rPh>
    <rPh sb="15" eb="16">
      <t>オナ</t>
    </rPh>
    <rPh sb="17" eb="19">
      <t>ソウテイ</t>
    </rPh>
    <rPh sb="20" eb="22">
      <t>フクスウ</t>
    </rPh>
    <rPh sb="22" eb="24">
      <t>セッテイ</t>
    </rPh>
    <rPh sb="27" eb="28">
      <t>カマ</t>
    </rPh>
    <rPh sb="47" eb="49">
      <t>セッテイ</t>
    </rPh>
    <rPh sb="61" eb="62">
      <t>オナ</t>
    </rPh>
    <rPh sb="63" eb="65">
      <t>セッテイ</t>
    </rPh>
    <phoneticPr fontId="1"/>
  </si>
  <si>
    <t>UA</t>
    <phoneticPr fontId="1"/>
  </si>
  <si>
    <t>省エネ基準</t>
    <rPh sb="0" eb="1">
      <t>ショウ</t>
    </rPh>
    <rPh sb="3" eb="5">
      <t>キジュン</t>
    </rPh>
    <phoneticPr fontId="1"/>
  </si>
  <si>
    <t>ZEH</t>
  </si>
  <si>
    <t>ZEH</t>
    <phoneticPr fontId="1"/>
  </si>
  <si>
    <t>G1</t>
    <phoneticPr fontId="1"/>
  </si>
  <si>
    <t>G2</t>
    <phoneticPr fontId="1"/>
  </si>
  <si>
    <t>G3</t>
  </si>
  <si>
    <t>G3</t>
    <phoneticPr fontId="1"/>
  </si>
  <si>
    <t>断熱性能</t>
    <rPh sb="0" eb="2">
      <t>ダンネツ</t>
    </rPh>
    <rPh sb="2" eb="4">
      <t>セイノウ</t>
    </rPh>
    <phoneticPr fontId="1"/>
  </si>
  <si>
    <r>
      <t>2）の方法→断熱性能や暖冷房の方法などにより野池が事前に計算した一次エネ消費量を用います。</t>
    </r>
    <r>
      <rPr>
        <u/>
        <sz val="9"/>
        <color rgb="FFFF0000"/>
        <rFont val="游ゴシック"/>
        <family val="3"/>
        <charset val="128"/>
        <scheme val="minor"/>
      </rPr>
      <t>この内容については「想定別一次エネ消費量」のシートを参照してください。</t>
    </r>
    <rPh sb="3" eb="5">
      <t>ホウホウ</t>
    </rPh>
    <rPh sb="6" eb="8">
      <t>ダンネツ</t>
    </rPh>
    <rPh sb="8" eb="10">
      <t>セイノウ</t>
    </rPh>
    <rPh sb="11" eb="14">
      <t>ダンレイボウ</t>
    </rPh>
    <rPh sb="15" eb="17">
      <t>ホウホウ</t>
    </rPh>
    <rPh sb="22" eb="24">
      <t>ノイケ</t>
    </rPh>
    <rPh sb="25" eb="27">
      <t>ジゼン</t>
    </rPh>
    <rPh sb="28" eb="30">
      <t>ケイサン</t>
    </rPh>
    <rPh sb="32" eb="34">
      <t>イチジ</t>
    </rPh>
    <rPh sb="36" eb="39">
      <t>ショウヒリョウ</t>
    </rPh>
    <rPh sb="40" eb="41">
      <t>モチ</t>
    </rPh>
    <phoneticPr fontId="1"/>
  </si>
  <si>
    <t>換気</t>
    <rPh sb="0" eb="2">
      <t>カンキ</t>
    </rPh>
    <phoneticPr fontId="1"/>
  </si>
  <si>
    <t>暖房</t>
    <rPh sb="0" eb="2">
      <t>ダンボウ</t>
    </rPh>
    <phoneticPr fontId="1"/>
  </si>
  <si>
    <t>冷房</t>
    <rPh sb="0" eb="2">
      <t>レイボウ</t>
    </rPh>
    <phoneticPr fontId="1"/>
  </si>
  <si>
    <t>給湯</t>
    <rPh sb="0" eb="2">
      <t>キュウトウ</t>
    </rPh>
    <phoneticPr fontId="1"/>
  </si>
  <si>
    <t>その他</t>
    <rPh sb="2" eb="3">
      <t>タ</t>
    </rPh>
    <phoneticPr fontId="1"/>
  </si>
  <si>
    <t>照明</t>
    <rPh sb="0" eb="2">
      <t>ショウメイ</t>
    </rPh>
    <phoneticPr fontId="1"/>
  </si>
  <si>
    <t>暖冷房係数</t>
    <rPh sb="0" eb="3">
      <t>ダンレイボウ</t>
    </rPh>
    <rPh sb="3" eb="5">
      <t>ケイスウ</t>
    </rPh>
    <phoneticPr fontId="1"/>
  </si>
  <si>
    <t>設備係数</t>
    <rPh sb="0" eb="2">
      <t>セツビ</t>
    </rPh>
    <rPh sb="2" eb="4">
      <t>ケイスウ</t>
    </rPh>
    <phoneticPr fontId="1"/>
  </si>
  <si>
    <t>想定A</t>
    <rPh sb="0" eb="2">
      <t>ソウテイ</t>
    </rPh>
    <phoneticPr fontId="1"/>
  </si>
  <si>
    <t>＜想定例＞</t>
    <rPh sb="1" eb="3">
      <t>ソウテイ</t>
    </rPh>
    <rPh sb="3" eb="4">
      <t>レイ</t>
    </rPh>
    <phoneticPr fontId="1"/>
  </si>
  <si>
    <t>現時点で国交省が最高レベルのエネルギー性能として設定しているものです。</t>
    <rPh sb="0" eb="3">
      <t>ゲンジテン</t>
    </rPh>
    <rPh sb="4" eb="7">
      <t>コッコウショウ</t>
    </rPh>
    <rPh sb="8" eb="10">
      <t>サイコウ</t>
    </rPh>
    <rPh sb="19" eb="21">
      <t>セイノウ</t>
    </rPh>
    <rPh sb="24" eb="26">
      <t>セッテイ</t>
    </rPh>
    <phoneticPr fontId="1"/>
  </si>
  <si>
    <t>・断熱レベル：省エネ基準程度、暖冷房の方法：エアコン居室間欠、換気：第3種、左記以外の設備：比較的省エネに考慮したもの</t>
    <rPh sb="1" eb="3">
      <t>ダンネツ</t>
    </rPh>
    <rPh sb="7" eb="8">
      <t>ショウ</t>
    </rPh>
    <rPh sb="10" eb="12">
      <t>キジュン</t>
    </rPh>
    <rPh sb="12" eb="14">
      <t>テイド</t>
    </rPh>
    <rPh sb="15" eb="18">
      <t>ダンレイボウ</t>
    </rPh>
    <rPh sb="19" eb="21">
      <t>ホウホウ</t>
    </rPh>
    <rPh sb="26" eb="28">
      <t>キョシツ</t>
    </rPh>
    <rPh sb="28" eb="30">
      <t>カンケツ</t>
    </rPh>
    <rPh sb="31" eb="33">
      <t>カンキ</t>
    </rPh>
    <rPh sb="34" eb="35">
      <t>ダイ</t>
    </rPh>
    <rPh sb="36" eb="37">
      <t>シュ</t>
    </rPh>
    <rPh sb="38" eb="40">
      <t>サキ</t>
    </rPh>
    <rPh sb="40" eb="42">
      <t>イガイ</t>
    </rPh>
    <rPh sb="43" eb="45">
      <t>セツビ</t>
    </rPh>
    <rPh sb="46" eb="49">
      <t>ヒカクテキ</t>
    </rPh>
    <rPh sb="49" eb="50">
      <t>ショウ</t>
    </rPh>
    <rPh sb="53" eb="55">
      <t>コウリョ</t>
    </rPh>
    <phoneticPr fontId="1"/>
  </si>
  <si>
    <t>・断熱レベル：ZEH基準程度、暖冷房の方法：エアコン居室間欠、換気：第1種熱交換、左記以外の設備：比較的省エネに考慮したもの</t>
    <rPh sb="1" eb="3">
      <t>ダンネツ</t>
    </rPh>
    <rPh sb="10" eb="12">
      <t>キジュン</t>
    </rPh>
    <rPh sb="12" eb="14">
      <t>テイド</t>
    </rPh>
    <rPh sb="15" eb="18">
      <t>ダンレイボウ</t>
    </rPh>
    <rPh sb="19" eb="21">
      <t>ホウホウ</t>
    </rPh>
    <rPh sb="26" eb="28">
      <t>キョシツ</t>
    </rPh>
    <rPh sb="28" eb="30">
      <t>カンケツ</t>
    </rPh>
    <rPh sb="31" eb="33">
      <t>カンキ</t>
    </rPh>
    <rPh sb="34" eb="35">
      <t>ダイ</t>
    </rPh>
    <rPh sb="36" eb="37">
      <t>シュ</t>
    </rPh>
    <rPh sb="37" eb="38">
      <t>ネツ</t>
    </rPh>
    <rPh sb="38" eb="40">
      <t>コウカン</t>
    </rPh>
    <rPh sb="41" eb="43">
      <t>サキ</t>
    </rPh>
    <rPh sb="43" eb="45">
      <t>イガイ</t>
    </rPh>
    <rPh sb="46" eb="48">
      <t>セツビ</t>
    </rPh>
    <rPh sb="49" eb="52">
      <t>ヒカクテキ</t>
    </rPh>
    <rPh sb="52" eb="53">
      <t>ショウ</t>
    </rPh>
    <rPh sb="56" eb="58">
      <t>コウリョ</t>
    </rPh>
    <phoneticPr fontId="1"/>
  </si>
  <si>
    <t>BEI</t>
    <phoneticPr fontId="1"/>
  </si>
  <si>
    <t>合計</t>
    <rPh sb="0" eb="2">
      <t>ゴウケイ</t>
    </rPh>
    <phoneticPr fontId="1"/>
  </si>
  <si>
    <t>その他以外</t>
    <rPh sb="2" eb="3">
      <t>タ</t>
    </rPh>
    <rPh sb="3" eb="5">
      <t>イガイ</t>
    </rPh>
    <phoneticPr fontId="1"/>
  </si>
  <si>
    <t>基準一次</t>
    <rPh sb="0" eb="2">
      <t>キジュン</t>
    </rPh>
    <rPh sb="2" eb="4">
      <t>イチジ</t>
    </rPh>
    <phoneticPr fontId="1"/>
  </si>
  <si>
    <t>・断熱レベル：G1～G2程度、暖冷房の方法：エアコン居室間欠、換気：第3種、給湯：ハイブリッド、左記以外の設備：最大限省エネに考慮したもの</t>
    <rPh sb="1" eb="3">
      <t>ダンネツ</t>
    </rPh>
    <rPh sb="12" eb="14">
      <t>テイド</t>
    </rPh>
    <rPh sb="15" eb="18">
      <t>ダンレイボウ</t>
    </rPh>
    <rPh sb="19" eb="21">
      <t>ホウホウ</t>
    </rPh>
    <rPh sb="26" eb="28">
      <t>キョシツ</t>
    </rPh>
    <rPh sb="28" eb="30">
      <t>カンケツ</t>
    </rPh>
    <rPh sb="31" eb="33">
      <t>カンキ</t>
    </rPh>
    <rPh sb="34" eb="35">
      <t>ダイ</t>
    </rPh>
    <rPh sb="36" eb="37">
      <t>シュ</t>
    </rPh>
    <rPh sb="38" eb="40">
      <t>キュウトウ</t>
    </rPh>
    <rPh sb="48" eb="50">
      <t>サキ</t>
    </rPh>
    <rPh sb="50" eb="52">
      <t>イガイ</t>
    </rPh>
    <rPh sb="53" eb="55">
      <t>セツビ</t>
    </rPh>
    <rPh sb="56" eb="59">
      <t>サイダイゲン</t>
    </rPh>
    <rPh sb="59" eb="60">
      <t>ショウ</t>
    </rPh>
    <rPh sb="63" eb="65">
      <t>コウリョ</t>
    </rPh>
    <phoneticPr fontId="1"/>
  </si>
  <si>
    <t>・断熱レベル：G1～G2程度、暖冷房の方法：進化形エアコン全館空調、換気：進化形第1種、給湯：進化形ハイブリッド、左記以外の設備：進化形</t>
    <rPh sb="1" eb="3">
      <t>ダンネツ</t>
    </rPh>
    <rPh sb="12" eb="14">
      <t>テイド</t>
    </rPh>
    <rPh sb="15" eb="18">
      <t>ダンレイボウ</t>
    </rPh>
    <rPh sb="19" eb="21">
      <t>ホウホウ</t>
    </rPh>
    <rPh sb="22" eb="25">
      <t>シンカケイ</t>
    </rPh>
    <rPh sb="29" eb="31">
      <t>ゼンカン</t>
    </rPh>
    <rPh sb="31" eb="33">
      <t>クウチョウ</t>
    </rPh>
    <rPh sb="34" eb="36">
      <t>カンキ</t>
    </rPh>
    <rPh sb="37" eb="40">
      <t>シンカケイ</t>
    </rPh>
    <rPh sb="40" eb="41">
      <t>ダイ</t>
    </rPh>
    <rPh sb="42" eb="43">
      <t>シュ</t>
    </rPh>
    <rPh sb="44" eb="46">
      <t>キュウトウ</t>
    </rPh>
    <rPh sb="47" eb="50">
      <t>シンカケイ</t>
    </rPh>
    <rPh sb="57" eb="59">
      <t>サキ</t>
    </rPh>
    <rPh sb="59" eb="61">
      <t>イガイ</t>
    </rPh>
    <rPh sb="62" eb="64">
      <t>セツビ</t>
    </rPh>
    <rPh sb="65" eb="68">
      <t>シンカケイ</t>
    </rPh>
    <phoneticPr fontId="1"/>
  </si>
  <si>
    <t>※それ以外の進化形：エネルギー消費性能計算プログラムにおけるそれぞれの入力による一次エネ消費量の70％</t>
    <rPh sb="3" eb="5">
      <t>イガイ</t>
    </rPh>
    <rPh sb="6" eb="9">
      <t>シンカケイ</t>
    </rPh>
    <rPh sb="15" eb="17">
      <t>ショウヒ</t>
    </rPh>
    <rPh sb="17" eb="19">
      <t>セイノウ</t>
    </rPh>
    <rPh sb="19" eb="21">
      <t>ケイサン</t>
    </rPh>
    <rPh sb="35" eb="37">
      <t>ニュウリョク</t>
    </rPh>
    <rPh sb="40" eb="42">
      <t>イチジ</t>
    </rPh>
    <rPh sb="44" eb="47">
      <t>ショウヒリョウ</t>
    </rPh>
    <phoneticPr fontId="1"/>
  </si>
  <si>
    <t>※進化形エアコン全館空調：エネルギー消費性能計算プログラムにおける全館空調の初期設定による暖冷房一次エネ消費量の40％</t>
    <rPh sb="1" eb="4">
      <t>シンカケイ</t>
    </rPh>
    <rPh sb="8" eb="10">
      <t>ゼンカン</t>
    </rPh>
    <rPh sb="10" eb="12">
      <t>クウチョウ</t>
    </rPh>
    <rPh sb="18" eb="20">
      <t>ショウヒ</t>
    </rPh>
    <rPh sb="20" eb="22">
      <t>セイノウ</t>
    </rPh>
    <rPh sb="22" eb="24">
      <t>ケイサン</t>
    </rPh>
    <rPh sb="33" eb="35">
      <t>ゼンカン</t>
    </rPh>
    <rPh sb="35" eb="37">
      <t>クウチョウ</t>
    </rPh>
    <rPh sb="38" eb="40">
      <t>ショキ</t>
    </rPh>
    <rPh sb="40" eb="42">
      <t>セッテイ</t>
    </rPh>
    <rPh sb="45" eb="48">
      <t>ダンレイボウ</t>
    </rPh>
    <rPh sb="48" eb="50">
      <t>イチジ</t>
    </rPh>
    <rPh sb="49" eb="50">
      <t>１１</t>
    </rPh>
    <rPh sb="52" eb="55">
      <t>ショウヒリョウ</t>
    </rPh>
    <phoneticPr fontId="1"/>
  </si>
  <si>
    <t>・断熱レベル：G3程度、暖冷房の方法：進化形エアコン全館空調、換気：超進化形第1種、給湯：超進化形ハイブリッド、左記以外の設備：超進化形</t>
    <rPh sb="1" eb="3">
      <t>ダンネツ</t>
    </rPh>
    <rPh sb="9" eb="11">
      <t>テイド</t>
    </rPh>
    <rPh sb="12" eb="15">
      <t>ダンレイボウ</t>
    </rPh>
    <rPh sb="16" eb="18">
      <t>ホウホウ</t>
    </rPh>
    <rPh sb="19" eb="22">
      <t>シンカケイ</t>
    </rPh>
    <rPh sb="26" eb="28">
      <t>ゼンカン</t>
    </rPh>
    <rPh sb="28" eb="30">
      <t>クウチョウ</t>
    </rPh>
    <rPh sb="31" eb="33">
      <t>カンキ</t>
    </rPh>
    <rPh sb="34" eb="35">
      <t>チョウ</t>
    </rPh>
    <rPh sb="35" eb="38">
      <t>シンカケイ</t>
    </rPh>
    <rPh sb="38" eb="39">
      <t>ダイ</t>
    </rPh>
    <rPh sb="40" eb="41">
      <t>シュ</t>
    </rPh>
    <rPh sb="42" eb="44">
      <t>キュウトウ</t>
    </rPh>
    <rPh sb="45" eb="46">
      <t>チョウ</t>
    </rPh>
    <rPh sb="46" eb="49">
      <t>シンカケイ</t>
    </rPh>
    <rPh sb="56" eb="58">
      <t>サキ</t>
    </rPh>
    <rPh sb="58" eb="60">
      <t>イガイ</t>
    </rPh>
    <rPh sb="61" eb="63">
      <t>セツビ</t>
    </rPh>
    <rPh sb="64" eb="65">
      <t>チョウ</t>
    </rPh>
    <rPh sb="65" eb="68">
      <t>シンカケイ</t>
    </rPh>
    <phoneticPr fontId="1"/>
  </si>
  <si>
    <t>※超進化形：エネルギー消費性能計算プログラムにおけるそれぞれの入力による一次エネ消費量の55％</t>
    <rPh sb="1" eb="2">
      <t>チョウ</t>
    </rPh>
    <rPh sb="2" eb="5">
      <t>シンカケイ</t>
    </rPh>
    <rPh sb="11" eb="13">
      <t>ショウヒ</t>
    </rPh>
    <rPh sb="13" eb="15">
      <t>セイノウ</t>
    </rPh>
    <rPh sb="15" eb="17">
      <t>ケイサン</t>
    </rPh>
    <rPh sb="31" eb="33">
      <t>ニュウリョク</t>
    </rPh>
    <rPh sb="36" eb="38">
      <t>イチジ</t>
    </rPh>
    <rPh sb="40" eb="43">
      <t>ショウヒリョウ</t>
    </rPh>
    <phoneticPr fontId="1"/>
  </si>
  <si>
    <t>断熱レベル</t>
    <rPh sb="0" eb="2">
      <t>ダンネツ</t>
    </rPh>
    <phoneticPr fontId="1"/>
  </si>
  <si>
    <t>省エネ基準UA＝0.87</t>
    <rPh sb="0" eb="1">
      <t>ショウ</t>
    </rPh>
    <rPh sb="3" eb="5">
      <t>キジュン</t>
    </rPh>
    <phoneticPr fontId="1"/>
  </si>
  <si>
    <t>G2　　　UA＝0.46</t>
    <phoneticPr fontId="1"/>
  </si>
  <si>
    <t>G3　　　UA＝0.23</t>
    <phoneticPr fontId="1"/>
  </si>
  <si>
    <t>また、2台の壁掛けエアコンを使用した全館空調（全館連続暖房）では相当な省エネが実現できる可能性があり、この補正係数を0.4～0.5として良いと思われます。</t>
    <rPh sb="4" eb="5">
      <t>ダイ</t>
    </rPh>
    <rPh sb="6" eb="8">
      <t>カベカ</t>
    </rPh>
    <rPh sb="14" eb="16">
      <t>シヨウ</t>
    </rPh>
    <rPh sb="18" eb="20">
      <t>ゼンカン</t>
    </rPh>
    <rPh sb="20" eb="22">
      <t>クウチョウ</t>
    </rPh>
    <rPh sb="23" eb="25">
      <t>ゼンカン</t>
    </rPh>
    <rPh sb="25" eb="27">
      <t>レンゾク</t>
    </rPh>
    <rPh sb="27" eb="29">
      <t>ダンボウ</t>
    </rPh>
    <rPh sb="32" eb="34">
      <t>ソウトウ</t>
    </rPh>
    <rPh sb="35" eb="36">
      <t>ショウ</t>
    </rPh>
    <rPh sb="39" eb="41">
      <t>ジツゲン</t>
    </rPh>
    <rPh sb="44" eb="47">
      <t>カノウセイ</t>
    </rPh>
    <rPh sb="53" eb="55">
      <t>ホセイ</t>
    </rPh>
    <rPh sb="55" eb="57">
      <t>ケイスウ</t>
    </rPh>
    <rPh sb="68" eb="69">
      <t>ヨ</t>
    </rPh>
    <rPh sb="71" eb="72">
      <t>オモ</t>
    </rPh>
    <phoneticPr fontId="1"/>
  </si>
  <si>
    <t>このプログラムは、上の一連の「2030年までの計算」に加え、2031年以降の設定を行うことにより2050年時点での戸建て全体の一次エネルギー消費量を計算するものです。</t>
    <rPh sb="9" eb="10">
      <t>ウエ</t>
    </rPh>
    <rPh sb="11" eb="13">
      <t>イチレン</t>
    </rPh>
    <rPh sb="19" eb="20">
      <t>ネン</t>
    </rPh>
    <rPh sb="23" eb="25">
      <t>ケイサン</t>
    </rPh>
    <rPh sb="27" eb="28">
      <t>クワ</t>
    </rPh>
    <rPh sb="34" eb="35">
      <t>ネン</t>
    </rPh>
    <rPh sb="35" eb="37">
      <t>イコウ</t>
    </rPh>
    <rPh sb="38" eb="40">
      <t>セッテイ</t>
    </rPh>
    <rPh sb="41" eb="42">
      <t>オコナ</t>
    </rPh>
    <rPh sb="52" eb="53">
      <t>ネン</t>
    </rPh>
    <rPh sb="53" eb="55">
      <t>ジテン</t>
    </rPh>
    <rPh sb="57" eb="59">
      <t>コダ</t>
    </rPh>
    <rPh sb="60" eb="62">
      <t>ゼンタイ</t>
    </rPh>
    <rPh sb="63" eb="65">
      <t>イチジ</t>
    </rPh>
    <rPh sb="70" eb="73">
      <t>ショウヒリョウ</t>
    </rPh>
    <rPh sb="74" eb="76">
      <t>ケイサン</t>
    </rPh>
    <phoneticPr fontId="1"/>
  </si>
  <si>
    <t>新築における入力</t>
    <rPh sb="0" eb="2">
      <t>シンチク</t>
    </rPh>
    <rPh sb="6" eb="8">
      <t>ニュウリョク</t>
    </rPh>
    <phoneticPr fontId="1"/>
  </si>
  <si>
    <t>以上の想定について、2031年～2050年までの新築における棟数割合を入力してください。</t>
    <rPh sb="0" eb="2">
      <t>イジョウ</t>
    </rPh>
    <rPh sb="3" eb="5">
      <t>ソウテイ</t>
    </rPh>
    <rPh sb="14" eb="15">
      <t>ネン</t>
    </rPh>
    <rPh sb="20" eb="21">
      <t>ネン</t>
    </rPh>
    <rPh sb="24" eb="26">
      <t>シンチク</t>
    </rPh>
    <rPh sb="30" eb="31">
      <t>トウ</t>
    </rPh>
    <rPh sb="31" eb="32">
      <t>スウ</t>
    </rPh>
    <rPh sb="32" eb="34">
      <t>ワリアイ</t>
    </rPh>
    <rPh sb="35" eb="37">
      <t>ニュウリョク</t>
    </rPh>
    <phoneticPr fontId="1"/>
  </si>
  <si>
    <t>想定B</t>
    <rPh sb="0" eb="2">
      <t>ソウテイ</t>
    </rPh>
    <phoneticPr fontId="1"/>
  </si>
  <si>
    <t>想定C</t>
    <rPh sb="0" eb="2">
      <t>ソウテイ</t>
    </rPh>
    <phoneticPr fontId="1"/>
  </si>
  <si>
    <t>BEIと一次エネの設定</t>
    <rPh sb="4" eb="6">
      <t>イチジ</t>
    </rPh>
    <rPh sb="9" eb="11">
      <t>セッテイ</t>
    </rPh>
    <phoneticPr fontId="1"/>
  </si>
  <si>
    <t>一次エネ計算</t>
    <rPh sb="0" eb="2">
      <t>イチジ</t>
    </rPh>
    <rPh sb="4" eb="6">
      <t>ケイサン</t>
    </rPh>
    <phoneticPr fontId="1"/>
  </si>
  <si>
    <t>2030年ストック</t>
    <rPh sb="4" eb="5">
      <t>ネン</t>
    </rPh>
    <phoneticPr fontId="1"/>
  </si>
  <si>
    <t>2031年～2050年までの新築着工戸数（平均）</t>
    <rPh sb="4" eb="5">
      <t>ネン</t>
    </rPh>
    <rPh sb="10" eb="11">
      <t>ネン</t>
    </rPh>
    <rPh sb="14" eb="16">
      <t>シンチク</t>
    </rPh>
    <rPh sb="16" eb="18">
      <t>チャッコウ</t>
    </rPh>
    <rPh sb="18" eb="20">
      <t>コスウ</t>
    </rPh>
    <rPh sb="21" eb="23">
      <t>ヘイキン</t>
    </rPh>
    <phoneticPr fontId="1"/>
  </si>
  <si>
    <t>←野村総研の予測</t>
    <rPh sb="1" eb="3">
      <t>ノムラ</t>
    </rPh>
    <rPh sb="3" eb="5">
      <t>ソウケン</t>
    </rPh>
    <rPh sb="6" eb="8">
      <t>ヨソク</t>
    </rPh>
    <phoneticPr fontId="1"/>
  </si>
  <si>
    <t>←国交省の予測</t>
    <rPh sb="1" eb="4">
      <t>コッコウショウ</t>
    </rPh>
    <rPh sb="5" eb="7">
      <t>ヨソク</t>
    </rPh>
    <phoneticPr fontId="1"/>
  </si>
  <si>
    <t>2040年</t>
    <rPh sb="4" eb="5">
      <t>ネン</t>
    </rPh>
    <phoneticPr fontId="1"/>
  </si>
  <si>
    <t>←野村総研の予測比率</t>
    <rPh sb="1" eb="3">
      <t>ノムラ</t>
    </rPh>
    <rPh sb="3" eb="5">
      <t>ソウケン</t>
    </rPh>
    <rPh sb="6" eb="8">
      <t>ヨソク</t>
    </rPh>
    <rPh sb="8" eb="10">
      <t>ヒリツ</t>
    </rPh>
    <phoneticPr fontId="1"/>
  </si>
  <si>
    <t>←国交省の予測に野村総研の予測比率を乗じた戸数（2031年～2050年の平均）</t>
    <rPh sb="1" eb="4">
      <t>コッコウショウ</t>
    </rPh>
    <rPh sb="5" eb="7">
      <t>ヨソク</t>
    </rPh>
    <rPh sb="8" eb="10">
      <t>ノムラ</t>
    </rPh>
    <rPh sb="10" eb="12">
      <t>ソウケン</t>
    </rPh>
    <rPh sb="13" eb="15">
      <t>ヨソク</t>
    </rPh>
    <rPh sb="15" eb="17">
      <t>ヒリツ</t>
    </rPh>
    <rPh sb="18" eb="19">
      <t>ジョウ</t>
    </rPh>
    <rPh sb="21" eb="23">
      <t>コスウ</t>
    </rPh>
    <rPh sb="28" eb="29">
      <t>ネン</t>
    </rPh>
    <rPh sb="34" eb="35">
      <t>ネン</t>
    </rPh>
    <rPh sb="36" eb="38">
      <t>ヘイキン</t>
    </rPh>
    <phoneticPr fontId="1"/>
  </si>
  <si>
    <t>←第6回あり方検討会国交省回答</t>
    <rPh sb="1" eb="2">
      <t>ダイ</t>
    </rPh>
    <rPh sb="3" eb="4">
      <t>カイ</t>
    </rPh>
    <rPh sb="6" eb="7">
      <t>カタ</t>
    </rPh>
    <rPh sb="7" eb="10">
      <t>ケントウカイ</t>
    </rPh>
    <rPh sb="10" eb="13">
      <t>コッコウショウ</t>
    </rPh>
    <rPh sb="13" eb="15">
      <t>カイトウ</t>
    </rPh>
    <phoneticPr fontId="1"/>
  </si>
  <si>
    <t>自然減</t>
    <rPh sb="0" eb="3">
      <t>シゼンゲン</t>
    </rPh>
    <phoneticPr fontId="1"/>
  </si>
  <si>
    <t>戸建て率</t>
    <rPh sb="0" eb="2">
      <t>コダ</t>
    </rPh>
    <rPh sb="3" eb="4">
      <t>リツ</t>
    </rPh>
    <phoneticPr fontId="1"/>
  </si>
  <si>
    <t>戸建て</t>
    <rPh sb="0" eb="2">
      <t>コダ</t>
    </rPh>
    <phoneticPr fontId="1"/>
  </si>
  <si>
    <t>共同</t>
    <rPh sb="0" eb="2">
      <t>キョウドウ</t>
    </rPh>
    <phoneticPr fontId="1"/>
  </si>
  <si>
    <t>2031年以降の想定一次エネ</t>
    <rPh sb="4" eb="5">
      <t>ネン</t>
    </rPh>
    <rPh sb="5" eb="7">
      <t>イコウ</t>
    </rPh>
    <rPh sb="8" eb="10">
      <t>ソウテイ</t>
    </rPh>
    <rPh sb="10" eb="12">
      <t>イチジ</t>
    </rPh>
    <phoneticPr fontId="1"/>
  </si>
  <si>
    <t>GJ</t>
    <phoneticPr fontId="1"/>
  </si>
  <si>
    <t>新築戸数</t>
    <rPh sb="0" eb="2">
      <t>シンチク</t>
    </rPh>
    <rPh sb="2" eb="4">
      <t>コスウ</t>
    </rPh>
    <phoneticPr fontId="1"/>
  </si>
  <si>
    <t>比率</t>
    <rPh sb="0" eb="2">
      <t>ヒリツ</t>
    </rPh>
    <phoneticPr fontId="1"/>
  </si>
  <si>
    <t>戸数</t>
    <rPh sb="0" eb="2">
      <t>コスウ</t>
    </rPh>
    <phoneticPr fontId="1"/>
  </si>
  <si>
    <t>振り分け</t>
    <rPh sb="0" eb="1">
      <t>フ</t>
    </rPh>
    <rPh sb="2" eb="3">
      <t>ワ</t>
    </rPh>
    <phoneticPr fontId="1"/>
  </si>
  <si>
    <t>残数</t>
    <rPh sb="0" eb="1">
      <t>ザン</t>
    </rPh>
    <rPh sb="1" eb="2">
      <t>スウ</t>
    </rPh>
    <phoneticPr fontId="1"/>
  </si>
  <si>
    <t>振り分け後</t>
    <rPh sb="0" eb="1">
      <t>フ</t>
    </rPh>
    <rPh sb="2" eb="3">
      <t>ワ</t>
    </rPh>
    <rPh sb="4" eb="5">
      <t>ゴ</t>
    </rPh>
    <phoneticPr fontId="1"/>
  </si>
  <si>
    <t>以上戸数結果</t>
    <rPh sb="0" eb="2">
      <t>イジョウ</t>
    </rPh>
    <rPh sb="2" eb="4">
      <t>コスウ</t>
    </rPh>
    <rPh sb="4" eb="6">
      <t>ケッカ</t>
    </rPh>
    <phoneticPr fontId="1"/>
  </si>
  <si>
    <t>BEI0.65まとめ</t>
    <phoneticPr fontId="1"/>
  </si>
  <si>
    <t>改修における入力</t>
    <rPh sb="0" eb="2">
      <t>カイシュウ</t>
    </rPh>
    <rPh sb="6" eb="8">
      <t>ニュウリョク</t>
    </rPh>
    <phoneticPr fontId="1"/>
  </si>
  <si>
    <t>■BEI=0.65（一次エネ消費量：59.9GJ）</t>
    <rPh sb="10" eb="12">
      <t>イチジ</t>
    </rPh>
    <rPh sb="14" eb="17">
      <t>ショウヒリョウ</t>
    </rPh>
    <phoneticPr fontId="1"/>
  </si>
  <si>
    <t>■新たな想定A：BEI=0.5（一次エネ消費量：45.0GJ）</t>
    <rPh sb="1" eb="2">
      <t>アラ</t>
    </rPh>
    <rPh sb="4" eb="6">
      <t>ソウテイ</t>
    </rPh>
    <rPh sb="16" eb="18">
      <t>イチジ</t>
    </rPh>
    <rPh sb="20" eb="23">
      <t>ショウヒリョウ</t>
    </rPh>
    <phoneticPr fontId="1"/>
  </si>
  <si>
    <t>■新たな想定B：BEI=0.4（一次エネ消費量：36.0GJ）</t>
    <rPh sb="1" eb="2">
      <t>アラ</t>
    </rPh>
    <rPh sb="4" eb="6">
      <t>ソウテイ</t>
    </rPh>
    <rPh sb="16" eb="18">
      <t>イチジ</t>
    </rPh>
    <rPh sb="20" eb="23">
      <t>ショウヒリョウ</t>
    </rPh>
    <phoneticPr fontId="1"/>
  </si>
  <si>
    <t>←国交省の想定は戸建てと共同を合わせて25万戸/年です。ここではこの合計として入力します。</t>
    <rPh sb="1" eb="4">
      <t>コッコウショウ</t>
    </rPh>
    <rPh sb="5" eb="7">
      <t>ソウテイ</t>
    </rPh>
    <rPh sb="8" eb="10">
      <t>コダ</t>
    </rPh>
    <rPh sb="12" eb="14">
      <t>キョウドウ</t>
    </rPh>
    <rPh sb="15" eb="16">
      <t>ア</t>
    </rPh>
    <rPh sb="21" eb="23">
      <t>マンコ</t>
    </rPh>
    <rPh sb="24" eb="25">
      <t>ネン</t>
    </rPh>
    <rPh sb="34" eb="36">
      <t>ゴウケイ</t>
    </rPh>
    <rPh sb="39" eb="41">
      <t>ニュウリョク</t>
    </rPh>
    <phoneticPr fontId="1"/>
  </si>
  <si>
    <t>※実際の計算は右の戸数として戸建てのみで行っています。</t>
    <rPh sb="1" eb="3">
      <t>ジッサイ</t>
    </rPh>
    <rPh sb="4" eb="6">
      <t>ケイサン</t>
    </rPh>
    <rPh sb="7" eb="8">
      <t>ミギ</t>
    </rPh>
    <rPh sb="9" eb="11">
      <t>コスウ</t>
    </rPh>
    <rPh sb="14" eb="16">
      <t>コダ</t>
    </rPh>
    <rPh sb="20" eb="21">
      <t>オコナ</t>
    </rPh>
    <phoneticPr fontId="1"/>
  </si>
  <si>
    <t>以下の想定を選択します。</t>
    <rPh sb="0" eb="2">
      <t>イカ</t>
    </rPh>
    <rPh sb="3" eb="5">
      <t>ソウテイ</t>
    </rPh>
    <rPh sb="6" eb="8">
      <t>センタク</t>
    </rPh>
    <phoneticPr fontId="1"/>
  </si>
  <si>
    <t>①H4以下の性能の住宅をすべてBEI=1.0にする</t>
    <rPh sb="3" eb="5">
      <t>イカ</t>
    </rPh>
    <rPh sb="6" eb="8">
      <t>セイノウ</t>
    </rPh>
    <rPh sb="9" eb="11">
      <t>ジュウタク</t>
    </rPh>
    <phoneticPr fontId="1"/>
  </si>
  <si>
    <t>（参考）この場合の年間改修戸数</t>
    <rPh sb="1" eb="3">
      <t>サンコウ</t>
    </rPh>
    <rPh sb="6" eb="8">
      <t>バアイ</t>
    </rPh>
    <rPh sb="9" eb="11">
      <t>ネンカン</t>
    </rPh>
    <rPh sb="11" eb="13">
      <t>カイシュウ</t>
    </rPh>
    <rPh sb="13" eb="15">
      <t>コスウ</t>
    </rPh>
    <phoneticPr fontId="1"/>
  </si>
  <si>
    <t>万戸/年</t>
    <rPh sb="0" eb="2">
      <t>マンコ</t>
    </rPh>
    <rPh sb="3" eb="4">
      <t>ネン</t>
    </rPh>
    <phoneticPr fontId="1"/>
  </si>
  <si>
    <t>②BEI=1.0以下の性能の住宅をすべてBEI=0.9にする</t>
    <rPh sb="8" eb="10">
      <t>イカ</t>
    </rPh>
    <rPh sb="11" eb="13">
      <t>セイノウ</t>
    </rPh>
    <rPh sb="14" eb="16">
      <t>ジュウタク</t>
    </rPh>
    <phoneticPr fontId="1"/>
  </si>
  <si>
    <t>←上のいずれかを選択します。</t>
    <rPh sb="1" eb="2">
      <t>ウエ</t>
    </rPh>
    <rPh sb="8" eb="10">
      <t>センタク</t>
    </rPh>
    <phoneticPr fontId="1"/>
  </si>
  <si>
    <t>改修評価（計算前）</t>
    <rPh sb="0" eb="2">
      <t>カイシュウ</t>
    </rPh>
    <rPh sb="2" eb="4">
      <t>ヒョウカ</t>
    </rPh>
    <rPh sb="5" eb="7">
      <t>ケイサン</t>
    </rPh>
    <rPh sb="7" eb="8">
      <t>マエ</t>
    </rPh>
    <phoneticPr fontId="1"/>
  </si>
  <si>
    <t>改修評価（計算後）</t>
    <rPh sb="0" eb="2">
      <t>カイシュウ</t>
    </rPh>
    <rPh sb="2" eb="4">
      <t>ヒョウカ</t>
    </rPh>
    <rPh sb="5" eb="7">
      <t>ケイサン</t>
    </rPh>
    <rPh sb="7" eb="8">
      <t>ゴ</t>
    </rPh>
    <phoneticPr fontId="1"/>
  </si>
  <si>
    <t>改修評価（計算）</t>
    <rPh sb="0" eb="2">
      <t>カイシュウ</t>
    </rPh>
    <rPh sb="2" eb="4">
      <t>ヒョウカ</t>
    </rPh>
    <rPh sb="5" eb="7">
      <t>ケイサン</t>
    </rPh>
    <phoneticPr fontId="1"/>
  </si>
  <si>
    <t>一次エネ</t>
    <rPh sb="0" eb="2">
      <t>イチジ</t>
    </rPh>
    <phoneticPr fontId="1"/>
  </si>
  <si>
    <t>BEI=0.65</t>
    <phoneticPr fontId="1"/>
  </si>
  <si>
    <t>2050年での一次エネ消費量合計（戸建て）</t>
    <rPh sb="4" eb="5">
      <t>ネン</t>
    </rPh>
    <rPh sb="7" eb="9">
      <t>イチジ</t>
    </rPh>
    <rPh sb="11" eb="14">
      <t>ショウヒリョウ</t>
    </rPh>
    <rPh sb="14" eb="16">
      <t>ゴウケイ</t>
    </rPh>
    <rPh sb="17" eb="19">
      <t>コダ</t>
    </rPh>
    <phoneticPr fontId="1"/>
  </si>
  <si>
    <t>一次エネ</t>
    <rPh sb="0" eb="2">
      <t>イチジ</t>
    </rPh>
    <phoneticPr fontId="1"/>
  </si>
  <si>
    <t>2021年での一次エネ消費量合計（戸建て）</t>
    <rPh sb="4" eb="5">
      <t>ネン</t>
    </rPh>
    <rPh sb="7" eb="9">
      <t>イチジ</t>
    </rPh>
    <rPh sb="11" eb="14">
      <t>ショウヒリョウ</t>
    </rPh>
    <rPh sb="14" eb="16">
      <t>ゴウケイ</t>
    </rPh>
    <rPh sb="17" eb="19">
      <t>コダ</t>
    </rPh>
    <phoneticPr fontId="1"/>
  </si>
  <si>
    <t>2030年での一次エネ消費量合計（戸建て）</t>
    <rPh sb="4" eb="5">
      <t>ネン</t>
    </rPh>
    <rPh sb="7" eb="9">
      <t>イチジ</t>
    </rPh>
    <rPh sb="11" eb="14">
      <t>ショウヒリョウ</t>
    </rPh>
    <rPh sb="14" eb="16">
      <t>ゴウケイ</t>
    </rPh>
    <rPh sb="17" eb="19">
      <t>コダ</t>
    </rPh>
    <phoneticPr fontId="1"/>
  </si>
  <si>
    <t>2021年での一時エネ消費量合計（戸建て）</t>
    <rPh sb="4" eb="5">
      <t>ネン</t>
    </rPh>
    <rPh sb="7" eb="9">
      <t>イチジ</t>
    </rPh>
    <rPh sb="11" eb="14">
      <t>ショウヒリョウ</t>
    </rPh>
    <rPh sb="14" eb="16">
      <t>ゴウケイ</t>
    </rPh>
    <rPh sb="17" eb="19">
      <t>コダ</t>
    </rPh>
    <phoneticPr fontId="1"/>
  </si>
  <si>
    <t>■2030年時点での一次エネルギー消費量の計算（共同）</t>
    <rPh sb="5" eb="6">
      <t>ネン</t>
    </rPh>
    <rPh sb="6" eb="8">
      <t>ジテン</t>
    </rPh>
    <rPh sb="10" eb="12">
      <t>イチジ</t>
    </rPh>
    <rPh sb="17" eb="20">
      <t>ショウヒリョウ</t>
    </rPh>
    <rPh sb="21" eb="23">
      <t>ケイサン</t>
    </rPh>
    <rPh sb="24" eb="26">
      <t>キョウドウ</t>
    </rPh>
    <phoneticPr fontId="1"/>
  </si>
  <si>
    <t>以上の入力でこの結果は出ています。</t>
    <rPh sb="0" eb="2">
      <t>イジョウ</t>
    </rPh>
    <rPh sb="3" eb="5">
      <t>ニュウリョク</t>
    </rPh>
    <rPh sb="8" eb="10">
      <t>ケッカ</t>
    </rPh>
    <rPh sb="11" eb="12">
      <t>デ</t>
    </rPh>
    <phoneticPr fontId="1"/>
  </si>
  <si>
    <t>2022～2030新築合計</t>
    <rPh sb="9" eb="11">
      <t>シンチク</t>
    </rPh>
    <rPh sb="11" eb="13">
      <t>ゴウケイ</t>
    </rPh>
    <phoneticPr fontId="1"/>
  </si>
  <si>
    <t>2021年</t>
    <rPh sb="4" eb="5">
      <t>ネン</t>
    </rPh>
    <phoneticPr fontId="1"/>
  </si>
  <si>
    <t>2030年ストック</t>
    <rPh sb="4" eb="5">
      <t>ネン</t>
    </rPh>
    <phoneticPr fontId="1"/>
  </si>
  <si>
    <t>開発分</t>
    <rPh sb="0" eb="2">
      <t>カイハツ</t>
    </rPh>
    <rPh sb="2" eb="3">
      <t>ブン</t>
    </rPh>
    <phoneticPr fontId="1"/>
  </si>
  <si>
    <t>建て替え分</t>
    <rPh sb="0" eb="1">
      <t>タ</t>
    </rPh>
    <rPh sb="2" eb="3">
      <t>カ</t>
    </rPh>
    <rPh sb="4" eb="5">
      <t>ブン</t>
    </rPh>
    <phoneticPr fontId="1"/>
  </si>
  <si>
    <t>建て替え分考慮後</t>
    <rPh sb="0" eb="1">
      <t>タ</t>
    </rPh>
    <rPh sb="2" eb="3">
      <t>カ</t>
    </rPh>
    <rPh sb="4" eb="5">
      <t>ブン</t>
    </rPh>
    <rPh sb="5" eb="7">
      <t>コウリョ</t>
    </rPh>
    <rPh sb="7" eb="8">
      <t>ゴ</t>
    </rPh>
    <phoneticPr fontId="1"/>
  </si>
  <si>
    <t>2022～2030年新築</t>
    <rPh sb="9" eb="10">
      <t>ネン</t>
    </rPh>
    <rPh sb="10" eb="12">
      <t>シンチク</t>
    </rPh>
    <phoneticPr fontId="1"/>
  </si>
  <si>
    <t>上記考慮後</t>
    <rPh sb="0" eb="2">
      <t>ジョウキ</t>
    </rPh>
    <rPh sb="2" eb="4">
      <t>コウリョ</t>
    </rPh>
    <rPh sb="4" eb="5">
      <t>ゴ</t>
    </rPh>
    <phoneticPr fontId="1"/>
  </si>
  <si>
    <t>改修影響</t>
    <rPh sb="0" eb="2">
      <t>カイシュウ</t>
    </rPh>
    <rPh sb="2" eb="4">
      <t>エイキョウ</t>
    </rPh>
    <phoneticPr fontId="1"/>
  </si>
  <si>
    <t>←初期値（国交省想定）で一次エネ消費量が増えているのは戸数増加の影響</t>
    <rPh sb="1" eb="4">
      <t>ショキチ</t>
    </rPh>
    <rPh sb="5" eb="8">
      <t>コッコウショウ</t>
    </rPh>
    <rPh sb="8" eb="10">
      <t>ソウテイ</t>
    </rPh>
    <rPh sb="12" eb="14">
      <t>イチジ</t>
    </rPh>
    <rPh sb="16" eb="19">
      <t>ショウヒリョウ</t>
    </rPh>
    <rPh sb="20" eb="21">
      <t>フ</t>
    </rPh>
    <rPh sb="27" eb="29">
      <t>コスウ</t>
    </rPh>
    <rPh sb="29" eb="31">
      <t>ゾウカ</t>
    </rPh>
    <rPh sb="32" eb="34">
      <t>エイキョウ</t>
    </rPh>
    <phoneticPr fontId="1"/>
  </si>
  <si>
    <t>■2050年時点での一次エネルギー消費量の計算（共同）</t>
    <rPh sb="5" eb="6">
      <t>ネン</t>
    </rPh>
    <rPh sb="6" eb="8">
      <t>ジテン</t>
    </rPh>
    <rPh sb="10" eb="12">
      <t>イチジ</t>
    </rPh>
    <rPh sb="17" eb="20">
      <t>ショウヒリョウ</t>
    </rPh>
    <rPh sb="21" eb="23">
      <t>ケイサン</t>
    </rPh>
    <rPh sb="24" eb="26">
      <t>キョウドウ</t>
    </rPh>
    <phoneticPr fontId="1"/>
  </si>
  <si>
    <t>2050年ストック</t>
    <rPh sb="4" eb="5">
      <t>ネン</t>
    </rPh>
    <phoneticPr fontId="1"/>
  </si>
  <si>
    <t>このプログラムは、上の一連の「2030年までの計算」に加え、2031年以降の設定を行うことにより2050年時点での共同全体の一次エネルギー消費量を計算するものです。</t>
    <rPh sb="9" eb="10">
      <t>ウエ</t>
    </rPh>
    <rPh sb="11" eb="13">
      <t>イチレン</t>
    </rPh>
    <rPh sb="19" eb="20">
      <t>ネン</t>
    </rPh>
    <rPh sb="23" eb="25">
      <t>ケイサン</t>
    </rPh>
    <rPh sb="27" eb="28">
      <t>クワ</t>
    </rPh>
    <rPh sb="34" eb="35">
      <t>ネン</t>
    </rPh>
    <rPh sb="35" eb="37">
      <t>イコウ</t>
    </rPh>
    <rPh sb="38" eb="40">
      <t>セッテイ</t>
    </rPh>
    <rPh sb="41" eb="42">
      <t>オコナ</t>
    </rPh>
    <rPh sb="52" eb="53">
      <t>ネン</t>
    </rPh>
    <rPh sb="53" eb="55">
      <t>ジテン</t>
    </rPh>
    <rPh sb="57" eb="59">
      <t>キョウドウ</t>
    </rPh>
    <rPh sb="59" eb="61">
      <t>ゼンタイ</t>
    </rPh>
    <rPh sb="62" eb="64">
      <t>イチジ</t>
    </rPh>
    <rPh sb="69" eb="72">
      <t>ショウヒリョウ</t>
    </rPh>
    <rPh sb="73" eb="75">
      <t>ケイサン</t>
    </rPh>
    <phoneticPr fontId="1"/>
  </si>
  <si>
    <t>国交省は2030年以降の具体的な計画を示していないため、将来の進化を想定しつつ以下のような2つの選択肢を設けて計算します。</t>
    <rPh sb="0" eb="3">
      <t>コッコウショウ</t>
    </rPh>
    <rPh sb="8" eb="9">
      <t>ネン</t>
    </rPh>
    <rPh sb="9" eb="11">
      <t>イコウ</t>
    </rPh>
    <rPh sb="12" eb="15">
      <t>グタイテキ</t>
    </rPh>
    <rPh sb="16" eb="18">
      <t>ケイカク</t>
    </rPh>
    <rPh sb="19" eb="20">
      <t>シメ</t>
    </rPh>
    <rPh sb="28" eb="30">
      <t>ショウライ</t>
    </rPh>
    <rPh sb="31" eb="33">
      <t>シンカ</t>
    </rPh>
    <rPh sb="34" eb="36">
      <t>ソウテイ</t>
    </rPh>
    <rPh sb="39" eb="41">
      <t>イカ</t>
    </rPh>
    <rPh sb="48" eb="51">
      <t>センタクシ</t>
    </rPh>
    <rPh sb="52" eb="53">
      <t>モウ</t>
    </rPh>
    <rPh sb="55" eb="57">
      <t>ケイサン</t>
    </rPh>
    <phoneticPr fontId="1"/>
  </si>
  <si>
    <t>■BEI=0.7（一次エネ消費量：48.9GJ）</t>
    <rPh sb="9" eb="11">
      <t>イチジ</t>
    </rPh>
    <rPh sb="13" eb="16">
      <t>ショウヒリョウ</t>
    </rPh>
    <phoneticPr fontId="1"/>
  </si>
  <si>
    <t>■新たな想定：BEI=0.5（一次エネ消費量：39.8GJ）</t>
    <rPh sb="1" eb="2">
      <t>アラ</t>
    </rPh>
    <rPh sb="4" eb="6">
      <t>ソウテイ</t>
    </rPh>
    <rPh sb="15" eb="17">
      <t>イチジ</t>
    </rPh>
    <rPh sb="19" eb="22">
      <t>ショウヒリョウ</t>
    </rPh>
    <phoneticPr fontId="1"/>
  </si>
  <si>
    <t>BEI=0.5</t>
    <phoneticPr fontId="1"/>
  </si>
  <si>
    <t>BEI=0.4</t>
    <phoneticPr fontId="1"/>
  </si>
  <si>
    <t>2030年一次エネ消費量の計算</t>
    <rPh sb="4" eb="5">
      <t>ネン</t>
    </rPh>
    <rPh sb="5" eb="7">
      <t>イチジ</t>
    </rPh>
    <rPh sb="9" eb="12">
      <t>ショウヒリョウ</t>
    </rPh>
    <rPh sb="13" eb="15">
      <t>ケイサン</t>
    </rPh>
    <phoneticPr fontId="1"/>
  </si>
  <si>
    <t>2050年一次エネ消費量の計算</t>
    <rPh sb="4" eb="5">
      <t>ネン</t>
    </rPh>
    <rPh sb="5" eb="7">
      <t>イチジ</t>
    </rPh>
    <rPh sb="9" eb="12">
      <t>ショウヒリョウ</t>
    </rPh>
    <rPh sb="13" eb="15">
      <t>ケイサン</t>
    </rPh>
    <phoneticPr fontId="1"/>
  </si>
  <si>
    <t>BEI0.5</t>
    <phoneticPr fontId="1"/>
  </si>
  <si>
    <t>2030年</t>
    <rPh sb="4" eb="5">
      <t>ネン</t>
    </rPh>
    <phoneticPr fontId="1"/>
  </si>
  <si>
    <t>自然減</t>
    <rPh sb="0" eb="2">
      <t>シゼン</t>
    </rPh>
    <rPh sb="2" eb="3">
      <t>ゲン</t>
    </rPh>
    <phoneticPr fontId="1"/>
  </si>
  <si>
    <t>共同</t>
    <rPh sb="0" eb="2">
      <t>キョウドウ</t>
    </rPh>
    <phoneticPr fontId="1"/>
  </si>
  <si>
    <t>上記考慮後</t>
    <rPh sb="0" eb="2">
      <t>ジョウキ</t>
    </rPh>
    <rPh sb="2" eb="4">
      <t>コウリョ</t>
    </rPh>
    <rPh sb="4" eb="5">
      <t>ゴ</t>
    </rPh>
    <phoneticPr fontId="1"/>
  </si>
  <si>
    <t>2031年以降の想定一次エネ</t>
    <rPh sb="4" eb="5">
      <t>ネン</t>
    </rPh>
    <rPh sb="5" eb="7">
      <t>イコウ</t>
    </rPh>
    <rPh sb="8" eb="10">
      <t>ソウテイ</t>
    </rPh>
    <rPh sb="10" eb="12">
      <t>イチジ</t>
    </rPh>
    <phoneticPr fontId="1"/>
  </si>
  <si>
    <t>BEI=0.5</t>
    <phoneticPr fontId="1"/>
  </si>
  <si>
    <t>2031～2050新築戸数</t>
    <rPh sb="9" eb="11">
      <t>シンチク</t>
    </rPh>
    <rPh sb="11" eb="13">
      <t>コスウ</t>
    </rPh>
    <phoneticPr fontId="1"/>
  </si>
  <si>
    <t>振り分け</t>
    <rPh sb="0" eb="1">
      <t>フ</t>
    </rPh>
    <rPh sb="2" eb="3">
      <t>ワ</t>
    </rPh>
    <phoneticPr fontId="1"/>
  </si>
  <si>
    <t>残数</t>
    <rPh sb="0" eb="1">
      <t>ザン</t>
    </rPh>
    <rPh sb="1" eb="2">
      <t>スウ</t>
    </rPh>
    <phoneticPr fontId="1"/>
  </si>
  <si>
    <t>改修における想定</t>
    <rPh sb="0" eb="2">
      <t>カイシュウ</t>
    </rPh>
    <rPh sb="6" eb="8">
      <t>ソウテイ</t>
    </rPh>
    <phoneticPr fontId="1"/>
  </si>
  <si>
    <t>S55レベルの住宅（約332万戸）をすべてBEI=1.0に改修するという想定で計算します。</t>
    <rPh sb="7" eb="9">
      <t>ジュウタク</t>
    </rPh>
    <rPh sb="10" eb="11">
      <t>ヤク</t>
    </rPh>
    <rPh sb="14" eb="16">
      <t>マンコ</t>
    </rPh>
    <rPh sb="29" eb="31">
      <t>カイシュウ</t>
    </rPh>
    <rPh sb="36" eb="38">
      <t>ソウテイ</t>
    </rPh>
    <rPh sb="39" eb="41">
      <t>ケイサン</t>
    </rPh>
    <phoneticPr fontId="1"/>
  </si>
  <si>
    <t>改修影響</t>
    <rPh sb="0" eb="2">
      <t>カイシュウ</t>
    </rPh>
    <rPh sb="2" eb="4">
      <t>エイキョウ</t>
    </rPh>
    <phoneticPr fontId="1"/>
  </si>
  <si>
    <t>新築比率</t>
    <rPh sb="0" eb="2">
      <t>シンチク</t>
    </rPh>
    <rPh sb="2" eb="4">
      <t>ヒリツ</t>
    </rPh>
    <phoneticPr fontId="1"/>
  </si>
  <si>
    <t>1年あたりでは約11万戸になります。これでもかなりのハイペースです。</t>
    <rPh sb="1" eb="2">
      <t>ネン</t>
    </rPh>
    <rPh sb="7" eb="8">
      <t>ヤク</t>
    </rPh>
    <rPh sb="10" eb="12">
      <t>マンコ</t>
    </rPh>
    <phoneticPr fontId="1"/>
  </si>
  <si>
    <t>一次エネ</t>
    <rPh sb="0" eb="2">
      <t>イチジ</t>
    </rPh>
    <phoneticPr fontId="1"/>
  </si>
  <si>
    <t>億GJ</t>
  </si>
  <si>
    <t>←新築合計の国の想定（初期設定）が公開資料の数値（253万kL）と若干合わないが、四捨五入による影響。</t>
    <rPh sb="1" eb="3">
      <t>シンチク</t>
    </rPh>
    <rPh sb="3" eb="5">
      <t>ゴウケイ</t>
    </rPh>
    <rPh sb="6" eb="7">
      <t>クニ</t>
    </rPh>
    <rPh sb="8" eb="10">
      <t>ソウテイ</t>
    </rPh>
    <rPh sb="11" eb="13">
      <t>ショキ</t>
    </rPh>
    <rPh sb="13" eb="15">
      <t>セッテイ</t>
    </rPh>
    <rPh sb="17" eb="19">
      <t>コウカイ</t>
    </rPh>
    <rPh sb="19" eb="21">
      <t>シリョウ</t>
    </rPh>
    <rPh sb="22" eb="24">
      <t>スウチ</t>
    </rPh>
    <rPh sb="28" eb="29">
      <t>マン</t>
    </rPh>
    <rPh sb="33" eb="35">
      <t>ジャッカン</t>
    </rPh>
    <rPh sb="35" eb="36">
      <t>ア</t>
    </rPh>
    <rPh sb="41" eb="45">
      <t>シシャゴニュウ</t>
    </rPh>
    <rPh sb="48" eb="50">
      <t>エイキョウ</t>
    </rPh>
    <phoneticPr fontId="1"/>
  </si>
  <si>
    <t>←計算結果が国の想定である520.8万kLの削減量を上回らないと、住宅関連の2030年までの省エネは達成できない</t>
    <rPh sb="1" eb="3">
      <t>ケイサン</t>
    </rPh>
    <rPh sb="3" eb="5">
      <t>ケッカ</t>
    </rPh>
    <rPh sb="6" eb="7">
      <t>クニ</t>
    </rPh>
    <rPh sb="8" eb="10">
      <t>ソウテイ</t>
    </rPh>
    <rPh sb="18" eb="19">
      <t>マン</t>
    </rPh>
    <rPh sb="22" eb="25">
      <t>サクゲンリョウ</t>
    </rPh>
    <rPh sb="26" eb="28">
      <t>ウワマワ</t>
    </rPh>
    <rPh sb="33" eb="35">
      <t>ジュウタク</t>
    </rPh>
    <rPh sb="35" eb="37">
      <t>カンレン</t>
    </rPh>
    <rPh sb="42" eb="43">
      <t>ネン</t>
    </rPh>
    <rPh sb="46" eb="47">
      <t>ショウ</t>
    </rPh>
    <rPh sb="50" eb="52">
      <t>タッセイ</t>
    </rPh>
    <phoneticPr fontId="1"/>
  </si>
  <si>
    <t>このプログラムでは上記の結果に加え、2050年時点の太陽光発電の設置による一次エネ消費量の削減量を計算します。</t>
    <rPh sb="9" eb="11">
      <t>ジョウキ</t>
    </rPh>
    <rPh sb="12" eb="14">
      <t>ケッカ</t>
    </rPh>
    <rPh sb="15" eb="16">
      <t>クワ</t>
    </rPh>
    <rPh sb="22" eb="23">
      <t>ネン</t>
    </rPh>
    <rPh sb="23" eb="25">
      <t>ジテン</t>
    </rPh>
    <rPh sb="26" eb="29">
      <t>タイヨウコウ</t>
    </rPh>
    <rPh sb="29" eb="31">
      <t>ハツデン</t>
    </rPh>
    <rPh sb="32" eb="34">
      <t>セッチ</t>
    </rPh>
    <rPh sb="37" eb="39">
      <t>イチジ</t>
    </rPh>
    <rPh sb="41" eb="44">
      <t>ショウヒリョウ</t>
    </rPh>
    <rPh sb="45" eb="48">
      <t>サクゲンリョウ</t>
    </rPh>
    <rPh sb="49" eb="51">
      <t>ケイサン</t>
    </rPh>
    <phoneticPr fontId="1"/>
  </si>
  <si>
    <t>％</t>
    <phoneticPr fontId="1"/>
  </si>
  <si>
    <t>このプログラムでは以下の2つの想定で2022年～2030年までの太陽光発電の設置による省エネ量を計算します。</t>
    <rPh sb="9" eb="11">
      <t>イカ</t>
    </rPh>
    <rPh sb="15" eb="17">
      <t>ソウテイ</t>
    </rPh>
    <rPh sb="22" eb="23">
      <t>ネン</t>
    </rPh>
    <rPh sb="28" eb="29">
      <t>ネン</t>
    </rPh>
    <rPh sb="32" eb="35">
      <t>タイヨウコウ</t>
    </rPh>
    <rPh sb="35" eb="37">
      <t>ハツデン</t>
    </rPh>
    <rPh sb="38" eb="40">
      <t>セッチ</t>
    </rPh>
    <rPh sb="43" eb="44">
      <t>ショウ</t>
    </rPh>
    <rPh sb="46" eb="47">
      <t>リョウ</t>
    </rPh>
    <rPh sb="48" eb="50">
      <t>ケイサン</t>
    </rPh>
    <phoneticPr fontId="1"/>
  </si>
  <si>
    <t>←2020年で5万戸/年程度です。</t>
    <rPh sb="5" eb="6">
      <t>ネン</t>
    </rPh>
    <rPh sb="8" eb="9">
      <t>マン</t>
    </rPh>
    <rPh sb="9" eb="10">
      <t>コ</t>
    </rPh>
    <rPh sb="11" eb="12">
      <t>ネン</t>
    </rPh>
    <rPh sb="12" eb="14">
      <t>テイド</t>
    </rPh>
    <phoneticPr fontId="1"/>
  </si>
  <si>
    <t>万戸/年</t>
    <rPh sb="0" eb="1">
      <t>マン</t>
    </rPh>
    <rPh sb="1" eb="2">
      <t>コ</t>
    </rPh>
    <rPh sb="3" eb="4">
      <t>ネン</t>
    </rPh>
    <phoneticPr fontId="1"/>
  </si>
  <si>
    <t>1）の場合</t>
    <rPh sb="3" eb="5">
      <t>バアイ</t>
    </rPh>
    <phoneticPr fontId="1"/>
  </si>
  <si>
    <t>2）の場合</t>
    <rPh sb="3" eb="5">
      <t>バアイ</t>
    </rPh>
    <phoneticPr fontId="1"/>
  </si>
  <si>
    <t>※上の「総合結果表示シートに表示させた選択」に基づいた計算を行います。</t>
    <rPh sb="1" eb="2">
      <t>ウエ</t>
    </rPh>
    <rPh sb="4" eb="6">
      <t>ソウゴウ</t>
    </rPh>
    <rPh sb="6" eb="8">
      <t>ケッカ</t>
    </rPh>
    <rPh sb="8" eb="10">
      <t>ヒョウジ</t>
    </rPh>
    <rPh sb="14" eb="16">
      <t>ヒョウジ</t>
    </rPh>
    <rPh sb="19" eb="21">
      <t>センタク</t>
    </rPh>
    <rPh sb="23" eb="24">
      <t>モト</t>
    </rPh>
    <rPh sb="27" eb="29">
      <t>ケイサン</t>
    </rPh>
    <rPh sb="30" eb="31">
      <t>オコナ</t>
    </rPh>
    <phoneticPr fontId="1"/>
  </si>
  <si>
    <t>2031年以降の計算</t>
    <rPh sb="4" eb="5">
      <t>ネン</t>
    </rPh>
    <rPh sb="5" eb="7">
      <t>イコウ</t>
    </rPh>
    <rPh sb="8" eb="10">
      <t>ケイサン</t>
    </rPh>
    <phoneticPr fontId="1"/>
  </si>
  <si>
    <t>2031年～2050年までの新築戸建て戸数</t>
    <rPh sb="4" eb="5">
      <t>ネン</t>
    </rPh>
    <rPh sb="10" eb="11">
      <t>ネン</t>
    </rPh>
    <rPh sb="14" eb="16">
      <t>シンチク</t>
    </rPh>
    <rPh sb="16" eb="18">
      <t>コダ</t>
    </rPh>
    <rPh sb="19" eb="21">
      <t>コスウ</t>
    </rPh>
    <phoneticPr fontId="1"/>
  </si>
  <si>
    <t>万戸</t>
    <rPh sb="0" eb="1">
      <t>マン</t>
    </rPh>
    <rPh sb="1" eb="2">
      <t>コ</t>
    </rPh>
    <phoneticPr fontId="1"/>
  </si>
  <si>
    <t>2030年～2050年までの新築戸建ての平均設置比率の入力</t>
    <rPh sb="4" eb="5">
      <t>ネン</t>
    </rPh>
    <rPh sb="8" eb="10">
      <t>シンチク</t>
    </rPh>
    <rPh sb="10" eb="12">
      <t>コダ</t>
    </rPh>
    <rPh sb="14" eb="16">
      <t>ヘイキン</t>
    </rPh>
    <rPh sb="16" eb="18">
      <t>セッチ</t>
    </rPh>
    <rPh sb="18" eb="20">
      <t>ヒリツ</t>
    </rPh>
    <rPh sb="21" eb="23">
      <t>ニュウリョク</t>
    </rPh>
    <phoneticPr fontId="1"/>
  </si>
  <si>
    <t>比率</t>
    <rPh sb="0" eb="2">
      <t>ヒリツ</t>
    </rPh>
    <phoneticPr fontId="1"/>
  </si>
  <si>
    <t>戸数</t>
    <rPh sb="0" eb="2">
      <t>コスウ</t>
    </rPh>
    <phoneticPr fontId="1"/>
  </si>
  <si>
    <t>平均設置容量</t>
    <rPh sb="0" eb="2">
      <t>ヘイキン</t>
    </rPh>
    <rPh sb="2" eb="4">
      <t>セッチ</t>
    </rPh>
    <rPh sb="4" eb="6">
      <t>ヨウリョウ</t>
    </rPh>
    <phoneticPr fontId="1"/>
  </si>
  <si>
    <t>※新築、既存にかかわらず、戸あたりの設置容量は4.75kWとしています。</t>
    <rPh sb="1" eb="3">
      <t>シンチク</t>
    </rPh>
    <rPh sb="4" eb="6">
      <t>キゾン</t>
    </rPh>
    <rPh sb="13" eb="14">
      <t>コ</t>
    </rPh>
    <rPh sb="18" eb="20">
      <t>セッチ</t>
    </rPh>
    <rPh sb="20" eb="22">
      <t>ヨウリョウ</t>
    </rPh>
    <phoneticPr fontId="1"/>
  </si>
  <si>
    <t>設置容量合計</t>
    <rPh sb="0" eb="2">
      <t>セッチ</t>
    </rPh>
    <rPh sb="2" eb="4">
      <t>ヨウリョウ</t>
    </rPh>
    <rPh sb="4" eb="6">
      <t>ゴウケイ</t>
    </rPh>
    <phoneticPr fontId="1"/>
  </si>
  <si>
    <t>kW</t>
    <phoneticPr fontId="1"/>
  </si>
  <si>
    <t>万kW</t>
    <rPh sb="0" eb="1">
      <t>マン</t>
    </rPh>
    <phoneticPr fontId="1"/>
  </si>
  <si>
    <t>既存住宅年あたり設置戸数</t>
    <rPh sb="0" eb="2">
      <t>キゾン</t>
    </rPh>
    <rPh sb="2" eb="4">
      <t>ジュウタク</t>
    </rPh>
    <rPh sb="4" eb="5">
      <t>ネン</t>
    </rPh>
    <rPh sb="8" eb="10">
      <t>セッチ</t>
    </rPh>
    <rPh sb="10" eb="12">
      <t>コスウ</t>
    </rPh>
    <phoneticPr fontId="1"/>
  </si>
  <si>
    <t>新築設置容量合計</t>
    <rPh sb="0" eb="2">
      <t>シンチク</t>
    </rPh>
    <rPh sb="2" eb="4">
      <t>セッチ</t>
    </rPh>
    <rPh sb="4" eb="6">
      <t>ヨウリョウ</t>
    </rPh>
    <rPh sb="6" eb="8">
      <t>ゴウケイ</t>
    </rPh>
    <phoneticPr fontId="1"/>
  </si>
  <si>
    <t>2022年～2050年までの既存戸建てにおける年あたり太陽光発電設置戸数の入力</t>
    <rPh sb="4" eb="5">
      <t>ネン</t>
    </rPh>
    <rPh sb="10" eb="11">
      <t>ネン</t>
    </rPh>
    <rPh sb="14" eb="16">
      <t>キゾン</t>
    </rPh>
    <rPh sb="16" eb="18">
      <t>コダ</t>
    </rPh>
    <rPh sb="23" eb="24">
      <t>ネン</t>
    </rPh>
    <rPh sb="27" eb="30">
      <t>タイヨウコウ</t>
    </rPh>
    <rPh sb="30" eb="32">
      <t>ハツデン</t>
    </rPh>
    <rPh sb="32" eb="34">
      <t>セッチ</t>
    </rPh>
    <rPh sb="34" eb="36">
      <t>コスウ</t>
    </rPh>
    <rPh sb="37" eb="39">
      <t>ニュウリョク</t>
    </rPh>
    <phoneticPr fontId="1"/>
  </si>
  <si>
    <t>2022年～2050年までの設置戸数</t>
    <rPh sb="4" eb="5">
      <t>ネン</t>
    </rPh>
    <rPh sb="10" eb="11">
      <t>ネン</t>
    </rPh>
    <rPh sb="14" eb="16">
      <t>セッチ</t>
    </rPh>
    <rPh sb="16" eb="18">
      <t>コスウ</t>
    </rPh>
    <phoneticPr fontId="1"/>
  </si>
  <si>
    <t>2030年時点新築設置容量</t>
    <rPh sb="4" eb="5">
      <t>ネン</t>
    </rPh>
    <rPh sb="5" eb="7">
      <t>ジテン</t>
    </rPh>
    <rPh sb="7" eb="9">
      <t>シンチク</t>
    </rPh>
    <rPh sb="9" eb="11">
      <t>セッチ</t>
    </rPh>
    <rPh sb="11" eb="13">
      <t>ヨウリョウ</t>
    </rPh>
    <phoneticPr fontId="1"/>
  </si>
  <si>
    <t>2050年新築設置容量</t>
    <rPh sb="4" eb="5">
      <t>ネン</t>
    </rPh>
    <rPh sb="5" eb="7">
      <t>シンチク</t>
    </rPh>
    <rPh sb="7" eb="9">
      <t>セッチ</t>
    </rPh>
    <rPh sb="9" eb="11">
      <t>ヨウリョウ</t>
    </rPh>
    <phoneticPr fontId="1"/>
  </si>
  <si>
    <t>2050年既存設置容量</t>
    <rPh sb="4" eb="5">
      <t>ネン</t>
    </rPh>
    <rPh sb="5" eb="7">
      <t>キゾン</t>
    </rPh>
    <rPh sb="7" eb="9">
      <t>セッチ</t>
    </rPh>
    <rPh sb="9" eb="11">
      <t>ヨウリョウ</t>
    </rPh>
    <phoneticPr fontId="1"/>
  </si>
  <si>
    <t>単位発電量</t>
    <rPh sb="0" eb="2">
      <t>タンイ</t>
    </rPh>
    <rPh sb="2" eb="5">
      <t>ハツデンリョウ</t>
    </rPh>
    <phoneticPr fontId="1"/>
  </si>
  <si>
    <t>※2022年以降に設置された太陽光発電のみを評価しています。</t>
    <rPh sb="5" eb="6">
      <t>ネン</t>
    </rPh>
    <rPh sb="6" eb="8">
      <t>イコウ</t>
    </rPh>
    <rPh sb="9" eb="11">
      <t>セッチ</t>
    </rPh>
    <rPh sb="14" eb="17">
      <t>タイヨウコウ</t>
    </rPh>
    <rPh sb="17" eb="19">
      <t>ハツデン</t>
    </rPh>
    <rPh sb="22" eb="24">
      <t>ヒョウカ</t>
    </rPh>
    <phoneticPr fontId="1"/>
  </si>
  <si>
    <t>合計発電量</t>
    <rPh sb="0" eb="2">
      <t>ゴウケイ</t>
    </rPh>
    <rPh sb="2" eb="5">
      <t>ハツデンリョウ</t>
    </rPh>
    <phoneticPr fontId="1"/>
  </si>
  <si>
    <t>万kWh</t>
    <rPh sb="0" eb="1">
      <t>マン</t>
    </rPh>
    <phoneticPr fontId="1"/>
  </si>
  <si>
    <t>一次エネ換算</t>
    <rPh sb="0" eb="2">
      <t>イチジ</t>
    </rPh>
    <rPh sb="4" eb="6">
      <t>カンサン</t>
    </rPh>
    <phoneticPr fontId="1"/>
  </si>
  <si>
    <t>万MJ</t>
    <rPh sb="0" eb="1">
      <t>マン</t>
    </rPh>
    <phoneticPr fontId="1"/>
  </si>
  <si>
    <t>単位変換</t>
    <rPh sb="0" eb="2">
      <t>タンイ</t>
    </rPh>
    <rPh sb="2" eb="4">
      <t>ヘンカン</t>
    </rPh>
    <phoneticPr fontId="1"/>
  </si>
  <si>
    <t>万GJ</t>
    <rPh sb="0" eb="1">
      <t>マン</t>
    </rPh>
    <phoneticPr fontId="1"/>
  </si>
  <si>
    <t>億GJ</t>
    <rPh sb="0" eb="1">
      <t>オク</t>
    </rPh>
    <phoneticPr fontId="1"/>
  </si>
  <si>
    <t>2050年時点での太陽光発電の設置容量と創エネ量（一次エネ）</t>
    <rPh sb="4" eb="5">
      <t>ネン</t>
    </rPh>
    <rPh sb="5" eb="7">
      <t>ジテン</t>
    </rPh>
    <rPh sb="9" eb="12">
      <t>タイヨウコウ</t>
    </rPh>
    <rPh sb="12" eb="14">
      <t>ハツデン</t>
    </rPh>
    <rPh sb="15" eb="17">
      <t>セッチ</t>
    </rPh>
    <rPh sb="17" eb="19">
      <t>ヨウリョウ</t>
    </rPh>
    <rPh sb="20" eb="21">
      <t>ソウ</t>
    </rPh>
    <rPh sb="23" eb="24">
      <t>リョウ</t>
    </rPh>
    <rPh sb="25" eb="27">
      <t>イチジ</t>
    </rPh>
    <phoneticPr fontId="1"/>
  </si>
  <si>
    <t>2030年時点の設置容量</t>
    <rPh sb="4" eb="5">
      <t>ネン</t>
    </rPh>
    <rPh sb="5" eb="7">
      <t>ジテン</t>
    </rPh>
    <rPh sb="8" eb="10">
      <t>セッチ</t>
    </rPh>
    <rPh sb="10" eb="12">
      <t>ヨウリョウ</t>
    </rPh>
    <phoneticPr fontId="1"/>
  </si>
  <si>
    <t>2050年時点の設置容量</t>
    <rPh sb="4" eb="5">
      <t>ネン</t>
    </rPh>
    <rPh sb="5" eb="7">
      <t>ジテン</t>
    </rPh>
    <rPh sb="8" eb="10">
      <t>セッチ</t>
    </rPh>
    <rPh sb="10" eb="12">
      <t>ヨウリョウ</t>
    </rPh>
    <phoneticPr fontId="1"/>
  </si>
  <si>
    <t>2050年時点の発電量</t>
    <rPh sb="4" eb="5">
      <t>ネン</t>
    </rPh>
    <rPh sb="5" eb="7">
      <t>ジテン</t>
    </rPh>
    <rPh sb="8" eb="11">
      <t>ハツデンリョウ</t>
    </rPh>
    <phoneticPr fontId="1"/>
  </si>
  <si>
    <t>2050年時点の創エネ量（一次エネ）</t>
    <rPh sb="4" eb="5">
      <t>ネン</t>
    </rPh>
    <rPh sb="5" eb="7">
      <t>ジテン</t>
    </rPh>
    <rPh sb="8" eb="9">
      <t>ソウ</t>
    </rPh>
    <rPh sb="11" eb="12">
      <t>リョウ</t>
    </rPh>
    <rPh sb="13" eb="15">
      <t>イチジ</t>
    </rPh>
    <phoneticPr fontId="1"/>
  </si>
  <si>
    <t>億kWh/年</t>
    <rPh sb="0" eb="1">
      <t>オク</t>
    </rPh>
    <rPh sb="5" eb="6">
      <t>ネン</t>
    </rPh>
    <phoneticPr fontId="1"/>
  </si>
  <si>
    <t>■2050年時点での消費量と創エネ量のまとめ</t>
    <rPh sb="5" eb="6">
      <t>ネン</t>
    </rPh>
    <rPh sb="6" eb="8">
      <t>ジテン</t>
    </rPh>
    <rPh sb="10" eb="13">
      <t>ショウヒリョウ</t>
    </rPh>
    <rPh sb="14" eb="15">
      <t>ソウ</t>
    </rPh>
    <rPh sb="17" eb="18">
      <t>リョウ</t>
    </rPh>
    <phoneticPr fontId="1"/>
  </si>
  <si>
    <t>戸建て住宅の一次エネ消費量</t>
    <rPh sb="0" eb="2">
      <t>コダ</t>
    </rPh>
    <rPh sb="3" eb="5">
      <t>ジュウタク</t>
    </rPh>
    <rPh sb="6" eb="8">
      <t>イチジ</t>
    </rPh>
    <rPh sb="10" eb="13">
      <t>ショウヒリョウ</t>
    </rPh>
    <phoneticPr fontId="1"/>
  </si>
  <si>
    <t>共同住宅の一次エネ消費量</t>
    <rPh sb="0" eb="2">
      <t>キョウドウ</t>
    </rPh>
    <rPh sb="2" eb="4">
      <t>ジュウタク</t>
    </rPh>
    <rPh sb="5" eb="7">
      <t>イチジ</t>
    </rPh>
    <rPh sb="9" eb="12">
      <t>ショウヒリョウ</t>
    </rPh>
    <phoneticPr fontId="1"/>
  </si>
  <si>
    <t>太陽光発電による創エネ量（一次エネ）</t>
    <rPh sb="0" eb="3">
      <t>タイヨウコウ</t>
    </rPh>
    <rPh sb="3" eb="5">
      <t>ハツデン</t>
    </rPh>
    <rPh sb="8" eb="9">
      <t>ソウ</t>
    </rPh>
    <rPh sb="11" eb="12">
      <t>リョウ</t>
    </rPh>
    <rPh sb="13" eb="15">
      <t>イチジ</t>
    </rPh>
    <phoneticPr fontId="1"/>
  </si>
  <si>
    <t>②</t>
  </si>
  <si>
    <t>消費量と創エネ量との差</t>
    <rPh sb="0" eb="3">
      <t>ショウヒリョウ</t>
    </rPh>
    <rPh sb="4" eb="5">
      <t>ソウ</t>
    </rPh>
    <rPh sb="7" eb="8">
      <t>リョウ</t>
    </rPh>
    <rPh sb="10" eb="11">
      <t>サ</t>
    </rPh>
    <phoneticPr fontId="1"/>
  </si>
  <si>
    <t>■2050年時点での「住宅部門カーボンニュートラル」とは？（野池の私見）</t>
    <rPh sb="5" eb="6">
      <t>ネン</t>
    </rPh>
    <rPh sb="6" eb="8">
      <t>ジテン</t>
    </rPh>
    <rPh sb="11" eb="13">
      <t>ジュウタク</t>
    </rPh>
    <rPh sb="13" eb="15">
      <t>ブモン</t>
    </rPh>
    <rPh sb="30" eb="32">
      <t>ノイケ</t>
    </rPh>
    <rPh sb="33" eb="35">
      <t>シケン</t>
    </rPh>
    <phoneticPr fontId="1"/>
  </si>
  <si>
    <t>・エネルギーとして使用される二次エネルギーはほぼすべて電力になっている（化石燃料はプラスチック等の原料のみに使用される）</t>
    <rPh sb="9" eb="11">
      <t>シヨウ</t>
    </rPh>
    <rPh sb="14" eb="16">
      <t>ニジ</t>
    </rPh>
    <rPh sb="27" eb="29">
      <t>デンリョク</t>
    </rPh>
    <rPh sb="36" eb="38">
      <t>カセキ</t>
    </rPh>
    <rPh sb="38" eb="40">
      <t>ネンリョウ</t>
    </rPh>
    <rPh sb="47" eb="48">
      <t>トウ</t>
    </rPh>
    <rPh sb="49" eb="51">
      <t>ゲンリョウ</t>
    </rPh>
    <rPh sb="54" eb="56">
      <t>シヨウ</t>
    </rPh>
    <phoneticPr fontId="1"/>
  </si>
  <si>
    <t>・その電力はすべて自然エネルギーによる発電によってつくられている</t>
    <rPh sb="3" eb="5">
      <t>デンリョク</t>
    </rPh>
    <rPh sb="9" eb="11">
      <t>シゼン</t>
    </rPh>
    <rPh sb="19" eb="21">
      <t>ハツデン</t>
    </rPh>
    <phoneticPr fontId="1"/>
  </si>
  <si>
    <t>＜そもそもの前提＞</t>
    <rPh sb="6" eb="8">
      <t>ゼンテイ</t>
    </rPh>
    <phoneticPr fontId="1"/>
  </si>
  <si>
    <t>＜住宅部門＞</t>
    <rPh sb="1" eb="3">
      <t>ジュウタク</t>
    </rPh>
    <rPh sb="3" eb="5">
      <t>ブモン</t>
    </rPh>
    <phoneticPr fontId="1"/>
  </si>
  <si>
    <t>・上記のまとめにある「消費量と創エネ量との差」は発電所から送られるものとなる（「非自立分の電力」と呼ぶ）</t>
    <rPh sb="1" eb="3">
      <t>ジョウキ</t>
    </rPh>
    <rPh sb="11" eb="14">
      <t>ショウヒリョウ</t>
    </rPh>
    <rPh sb="15" eb="16">
      <t>ソウ</t>
    </rPh>
    <rPh sb="18" eb="19">
      <t>リョウ</t>
    </rPh>
    <rPh sb="21" eb="22">
      <t>サ</t>
    </rPh>
    <rPh sb="24" eb="27">
      <t>ハツデンショ</t>
    </rPh>
    <rPh sb="29" eb="30">
      <t>オク</t>
    </rPh>
    <rPh sb="40" eb="41">
      <t>ヒ</t>
    </rPh>
    <rPh sb="41" eb="43">
      <t>ジリツ</t>
    </rPh>
    <rPh sb="43" eb="44">
      <t>ブン</t>
    </rPh>
    <rPh sb="45" eb="47">
      <t>デンリョク</t>
    </rPh>
    <rPh sb="49" eb="50">
      <t>ヨ</t>
    </rPh>
    <phoneticPr fontId="1"/>
  </si>
  <si>
    <t>・その非自立分の電力量は、少なくとも現時点での電力量（住宅部門全体で消費されている電力量）を下回るようにすべき</t>
    <rPh sb="3" eb="4">
      <t>ヒ</t>
    </rPh>
    <rPh sb="4" eb="6">
      <t>ジリツ</t>
    </rPh>
    <rPh sb="6" eb="7">
      <t>ブン</t>
    </rPh>
    <rPh sb="8" eb="10">
      <t>デンリョク</t>
    </rPh>
    <rPh sb="10" eb="11">
      <t>リョウ</t>
    </rPh>
    <rPh sb="13" eb="14">
      <t>スク</t>
    </rPh>
    <rPh sb="18" eb="21">
      <t>ゲンジテン</t>
    </rPh>
    <rPh sb="23" eb="26">
      <t>デンリョクリョウ</t>
    </rPh>
    <rPh sb="27" eb="29">
      <t>ジュウタク</t>
    </rPh>
    <rPh sb="29" eb="31">
      <t>ブモン</t>
    </rPh>
    <rPh sb="31" eb="33">
      <t>ゼンタイ</t>
    </rPh>
    <rPh sb="34" eb="36">
      <t>ショウヒ</t>
    </rPh>
    <rPh sb="41" eb="44">
      <t>デンリョクリョウ</t>
    </rPh>
    <rPh sb="46" eb="48">
      <t>シタマワ</t>
    </rPh>
    <phoneticPr fontId="1"/>
  </si>
  <si>
    <t>・なぜなら、もし上回ってしまうと、住宅部門が自然エネルギーによる発電所の増設という負荷を与えてしまうから</t>
    <rPh sb="8" eb="10">
      <t>ウワマワ</t>
    </rPh>
    <rPh sb="17" eb="19">
      <t>ジュウタク</t>
    </rPh>
    <rPh sb="19" eb="21">
      <t>ブモン</t>
    </rPh>
    <rPh sb="22" eb="24">
      <t>シゼン</t>
    </rPh>
    <rPh sb="32" eb="35">
      <t>ハツデンショ</t>
    </rPh>
    <rPh sb="36" eb="38">
      <t>ゾウセツ</t>
    </rPh>
    <rPh sb="41" eb="43">
      <t>フカ</t>
    </rPh>
    <rPh sb="44" eb="45">
      <t>アタ</t>
    </rPh>
    <phoneticPr fontId="1"/>
  </si>
  <si>
    <t>■2021年時点での住宅部門の電力消費量と住宅部門2050年カーボンニュートラルの評価</t>
    <rPh sb="5" eb="6">
      <t>ネン</t>
    </rPh>
    <rPh sb="6" eb="8">
      <t>ジテン</t>
    </rPh>
    <rPh sb="10" eb="12">
      <t>ジュウタク</t>
    </rPh>
    <rPh sb="12" eb="14">
      <t>ブモン</t>
    </rPh>
    <rPh sb="15" eb="17">
      <t>デンリョク</t>
    </rPh>
    <rPh sb="17" eb="20">
      <t>ショウヒリョウ</t>
    </rPh>
    <rPh sb="21" eb="23">
      <t>ジュウタク</t>
    </rPh>
    <rPh sb="23" eb="25">
      <t>ブモン</t>
    </rPh>
    <rPh sb="29" eb="30">
      <t>ネン</t>
    </rPh>
    <rPh sb="41" eb="43">
      <t>ヒョウカ</t>
    </rPh>
    <phoneticPr fontId="1"/>
  </si>
  <si>
    <t>本プログラムの作成意図やそれに関連したコメント（2021年11月25日記載）</t>
    <rPh sb="0" eb="1">
      <t>ホン</t>
    </rPh>
    <rPh sb="7" eb="9">
      <t>サクセイ</t>
    </rPh>
    <rPh sb="9" eb="11">
      <t>イト</t>
    </rPh>
    <rPh sb="15" eb="17">
      <t>カンレン</t>
    </rPh>
    <rPh sb="28" eb="29">
      <t>ネン</t>
    </rPh>
    <rPh sb="31" eb="32">
      <t>ガツ</t>
    </rPh>
    <rPh sb="34" eb="35">
      <t>ニチ</t>
    </rPh>
    <rPh sb="35" eb="37">
      <t>キサイ</t>
    </rPh>
    <phoneticPr fontId="1"/>
  </si>
  <si>
    <t>本プログラムは「第5回あり方検討会」で事務局（国）から提示された資料（下にリンク）に基づき、まずはユーザーが設定する内容で2030年までの省エネ量（原油換算）の計算ができるようにしました。</t>
    <rPh sb="0" eb="1">
      <t>ホン</t>
    </rPh>
    <rPh sb="8" eb="9">
      <t>ダイ</t>
    </rPh>
    <rPh sb="10" eb="11">
      <t>カイ</t>
    </rPh>
    <rPh sb="13" eb="14">
      <t>カタ</t>
    </rPh>
    <rPh sb="14" eb="17">
      <t>ケントウカイ</t>
    </rPh>
    <rPh sb="19" eb="22">
      <t>ジムキョク</t>
    </rPh>
    <rPh sb="23" eb="24">
      <t>クニ</t>
    </rPh>
    <rPh sb="27" eb="29">
      <t>テイジ</t>
    </rPh>
    <rPh sb="32" eb="34">
      <t>シリョウ</t>
    </rPh>
    <rPh sb="35" eb="36">
      <t>シタ</t>
    </rPh>
    <rPh sb="42" eb="43">
      <t>モト</t>
    </rPh>
    <rPh sb="54" eb="56">
      <t>セッテイ</t>
    </rPh>
    <rPh sb="58" eb="60">
      <t>ナイヨウ</t>
    </rPh>
    <rPh sb="65" eb="66">
      <t>ネン</t>
    </rPh>
    <rPh sb="69" eb="70">
      <t>ショウ</t>
    </rPh>
    <rPh sb="72" eb="73">
      <t>リョウ</t>
    </rPh>
    <rPh sb="74" eb="76">
      <t>ゲンユ</t>
    </rPh>
    <rPh sb="76" eb="78">
      <t>カンサン</t>
    </rPh>
    <rPh sb="80" eb="82">
      <t>ケイサン</t>
    </rPh>
    <phoneticPr fontId="1"/>
  </si>
  <si>
    <t>次に上記の計算ロジックに従いつつ、妥当と思われる想定などを考えて太陽光発電の評価を含んだ2030年時点および2050年時点の住宅部門の一次エネルギー消費量が計算できるようにしました。</t>
    <rPh sb="0" eb="1">
      <t>ツギ</t>
    </rPh>
    <rPh sb="2" eb="4">
      <t>ジョウキ</t>
    </rPh>
    <rPh sb="5" eb="7">
      <t>ケイサン</t>
    </rPh>
    <rPh sb="12" eb="13">
      <t>シタガ</t>
    </rPh>
    <rPh sb="17" eb="19">
      <t>ダトウ</t>
    </rPh>
    <rPh sb="20" eb="21">
      <t>オモ</t>
    </rPh>
    <rPh sb="24" eb="26">
      <t>ソウテイ</t>
    </rPh>
    <rPh sb="29" eb="30">
      <t>カンガ</t>
    </rPh>
    <rPh sb="32" eb="35">
      <t>タイヨウコウ</t>
    </rPh>
    <rPh sb="35" eb="37">
      <t>ハツデン</t>
    </rPh>
    <rPh sb="38" eb="40">
      <t>ヒョウカ</t>
    </rPh>
    <rPh sb="41" eb="42">
      <t>フク</t>
    </rPh>
    <rPh sb="48" eb="49">
      <t>ネン</t>
    </rPh>
    <rPh sb="49" eb="51">
      <t>ジテン</t>
    </rPh>
    <rPh sb="58" eb="59">
      <t>ネン</t>
    </rPh>
    <rPh sb="59" eb="61">
      <t>ジテン</t>
    </rPh>
    <rPh sb="62" eb="64">
      <t>ジュウタク</t>
    </rPh>
    <rPh sb="64" eb="66">
      <t>ブモン</t>
    </rPh>
    <rPh sb="67" eb="69">
      <t>イチジ</t>
    </rPh>
    <rPh sb="74" eb="77">
      <t>ショウヒリョウ</t>
    </rPh>
    <rPh sb="78" eb="80">
      <t>ケイサン</t>
    </rPh>
    <phoneticPr fontId="1"/>
  </si>
  <si>
    <t>住宅部門消費量合計</t>
    <rPh sb="0" eb="2">
      <t>ジュウタク</t>
    </rPh>
    <rPh sb="2" eb="4">
      <t>ブモン</t>
    </rPh>
    <rPh sb="4" eb="7">
      <t>ショウヒリョウ</t>
    </rPh>
    <rPh sb="7" eb="9">
      <t>ゴウケイ</t>
    </rPh>
    <phoneticPr fontId="1"/>
  </si>
  <si>
    <t>野池が考える「2050年住宅部門カーボンニュートラル」というのは、次のような状況を指します。</t>
    <rPh sb="0" eb="2">
      <t>ノイケ</t>
    </rPh>
    <rPh sb="3" eb="4">
      <t>カンガ</t>
    </rPh>
    <rPh sb="11" eb="12">
      <t>ネン</t>
    </rPh>
    <rPh sb="12" eb="14">
      <t>ジュウタク</t>
    </rPh>
    <rPh sb="14" eb="16">
      <t>ブモン</t>
    </rPh>
    <rPh sb="33" eb="34">
      <t>ツギ</t>
    </rPh>
    <rPh sb="38" eb="40">
      <t>ジョウキョウ</t>
    </rPh>
    <rPh sb="41" eb="42">
      <t>サ</t>
    </rPh>
    <phoneticPr fontId="1"/>
  </si>
  <si>
    <t>ということで、2021年時点での住宅部門の電力消費量を見てみると、2540億kWh/年になっています（統計としては2019年）。</t>
    <rPh sb="11" eb="12">
      <t>ネン</t>
    </rPh>
    <rPh sb="12" eb="14">
      <t>ジテン</t>
    </rPh>
    <rPh sb="16" eb="18">
      <t>ジュウタク</t>
    </rPh>
    <rPh sb="18" eb="20">
      <t>ブモン</t>
    </rPh>
    <rPh sb="21" eb="23">
      <t>デンリョク</t>
    </rPh>
    <rPh sb="23" eb="26">
      <t>ショウヒリョウ</t>
    </rPh>
    <rPh sb="27" eb="28">
      <t>ミ</t>
    </rPh>
    <rPh sb="37" eb="38">
      <t>オク</t>
    </rPh>
    <rPh sb="42" eb="43">
      <t>ネン</t>
    </rPh>
    <rPh sb="51" eb="53">
      <t>トウケイ</t>
    </rPh>
    <rPh sb="61" eb="62">
      <t>ネン</t>
    </rPh>
    <phoneticPr fontId="1"/>
  </si>
  <si>
    <r>
      <t>これを一次エネに換算すると</t>
    </r>
    <r>
      <rPr>
        <b/>
        <sz val="9"/>
        <color rgb="FFFF0000"/>
        <rFont val="游ゴシック"/>
        <family val="3"/>
        <charset val="128"/>
        <scheme val="minor"/>
      </rPr>
      <t>23.5億GJ/年</t>
    </r>
    <r>
      <rPr>
        <b/>
        <sz val="9"/>
        <color theme="1"/>
        <rFont val="游ゴシック"/>
        <family val="3"/>
        <charset val="128"/>
        <scheme val="minor"/>
      </rPr>
      <t>となります。</t>
    </r>
    <rPh sb="3" eb="5">
      <t>イチジ</t>
    </rPh>
    <rPh sb="8" eb="10">
      <t>カンサン</t>
    </rPh>
    <rPh sb="17" eb="18">
      <t>オク</t>
    </rPh>
    <rPh sb="21" eb="22">
      <t>ネン</t>
    </rPh>
    <phoneticPr fontId="1"/>
  </si>
  <si>
    <t>この数値と上記のまとめにある「消費量と創エネ量との差」を見ていただき、どのような想定（入力）をすれば「住宅部門2050年カーボンニュートラル」が実現されるかを考えてください。</t>
    <rPh sb="2" eb="4">
      <t>スウチ</t>
    </rPh>
    <rPh sb="5" eb="7">
      <t>ジョウキ</t>
    </rPh>
    <rPh sb="15" eb="18">
      <t>ショウヒリョウ</t>
    </rPh>
    <rPh sb="19" eb="20">
      <t>ソウ</t>
    </rPh>
    <rPh sb="22" eb="23">
      <t>リョウ</t>
    </rPh>
    <rPh sb="25" eb="26">
      <t>サ</t>
    </rPh>
    <rPh sb="28" eb="29">
      <t>ミ</t>
    </rPh>
    <rPh sb="40" eb="42">
      <t>ソウテイ</t>
    </rPh>
    <rPh sb="43" eb="45">
      <t>ニュウリョク</t>
    </rPh>
    <rPh sb="51" eb="53">
      <t>ジュウタク</t>
    </rPh>
    <rPh sb="53" eb="55">
      <t>ブモン</t>
    </rPh>
    <rPh sb="59" eb="60">
      <t>ネン</t>
    </rPh>
    <rPh sb="72" eb="74">
      <t>ジツゲン</t>
    </rPh>
    <rPh sb="79" eb="80">
      <t>カンガ</t>
    </rPh>
    <phoneticPr fontId="1"/>
  </si>
  <si>
    <t>まとめると、本プログラムでは以下の計算ができるようになっています。</t>
    <rPh sb="6" eb="7">
      <t>ホン</t>
    </rPh>
    <rPh sb="14" eb="16">
      <t>イカ</t>
    </rPh>
    <rPh sb="17" eb="19">
      <t>ケイサン</t>
    </rPh>
    <phoneticPr fontId="1"/>
  </si>
  <si>
    <t>■太陽光発電による省エネ量の計算（2030年まで）</t>
    <rPh sb="1" eb="4">
      <t>タイヨウコウ</t>
    </rPh>
    <rPh sb="4" eb="6">
      <t>ハツデン</t>
    </rPh>
    <rPh sb="9" eb="10">
      <t>ショウ</t>
    </rPh>
    <rPh sb="12" eb="13">
      <t>リョウ</t>
    </rPh>
    <rPh sb="14" eb="16">
      <t>ケイサン</t>
    </rPh>
    <rPh sb="21" eb="22">
      <t>ネン</t>
    </rPh>
    <phoneticPr fontId="1"/>
  </si>
  <si>
    <t>■太陽光発電による一次エネ消費量削減量の計算（2050年）</t>
    <rPh sb="1" eb="4">
      <t>タイヨウコウ</t>
    </rPh>
    <rPh sb="4" eb="6">
      <t>ハツデン</t>
    </rPh>
    <rPh sb="9" eb="11">
      <t>イチジ</t>
    </rPh>
    <rPh sb="13" eb="16">
      <t>ショウヒリョウ</t>
    </rPh>
    <rPh sb="16" eb="18">
      <t>サクゲン</t>
    </rPh>
    <rPh sb="18" eb="19">
      <t>リョウ</t>
    </rPh>
    <rPh sb="20" eb="22">
      <t>ケイサン</t>
    </rPh>
    <rPh sb="27" eb="28">
      <t>ネン</t>
    </rPh>
    <phoneticPr fontId="1"/>
  </si>
  <si>
    <t>■2022年～2030年までの新築共同による省エネ量（原油換算）の計算</t>
    <rPh sb="5" eb="6">
      <t>ネン</t>
    </rPh>
    <rPh sb="11" eb="12">
      <t>ネン</t>
    </rPh>
    <rPh sb="15" eb="17">
      <t>シンチク</t>
    </rPh>
    <rPh sb="17" eb="19">
      <t>キョウドウ</t>
    </rPh>
    <rPh sb="22" eb="23">
      <t>ショウ</t>
    </rPh>
    <rPh sb="25" eb="26">
      <t>リョウ</t>
    </rPh>
    <rPh sb="27" eb="29">
      <t>ゲンユ</t>
    </rPh>
    <rPh sb="29" eb="31">
      <t>カンサン</t>
    </rPh>
    <rPh sb="33" eb="35">
      <t>ケイサン</t>
    </rPh>
    <phoneticPr fontId="1"/>
  </si>
  <si>
    <t>■2022年～2030年までの改修共同による省エネ量（原油換算）計算</t>
    <rPh sb="5" eb="6">
      <t>ネン</t>
    </rPh>
    <rPh sb="11" eb="12">
      <t>ネン</t>
    </rPh>
    <rPh sb="15" eb="17">
      <t>カイシュウ</t>
    </rPh>
    <rPh sb="17" eb="19">
      <t>キョウドウ</t>
    </rPh>
    <rPh sb="22" eb="23">
      <t>ショウ</t>
    </rPh>
    <rPh sb="25" eb="26">
      <t>リョウ</t>
    </rPh>
    <rPh sb="27" eb="29">
      <t>ゲンユ</t>
    </rPh>
    <rPh sb="29" eb="31">
      <t>カンサン</t>
    </rPh>
    <rPh sb="32" eb="34">
      <t>ケイサン</t>
    </rPh>
    <phoneticPr fontId="1"/>
  </si>
  <si>
    <t>■「2050年住宅部門カーボンニュートラル」の評価</t>
    <rPh sb="6" eb="7">
      <t>ネン</t>
    </rPh>
    <rPh sb="7" eb="9">
      <t>ジュウタク</t>
    </rPh>
    <rPh sb="9" eb="11">
      <t>ブモン</t>
    </rPh>
    <rPh sb="23" eb="25">
      <t>ヒョウカ</t>
    </rPh>
    <phoneticPr fontId="1"/>
  </si>
  <si>
    <t>それぞれのシートに入力のための簡単なガイドを書いています。</t>
    <rPh sb="9" eb="11">
      <t>ニュウリョク</t>
    </rPh>
    <rPh sb="15" eb="17">
      <t>カンタン</t>
    </rPh>
    <rPh sb="22" eb="23">
      <t>カ</t>
    </rPh>
    <phoneticPr fontId="1"/>
  </si>
  <si>
    <t>※ある程度の詳細については「補足解説」のシートに記載しています。</t>
    <rPh sb="3" eb="5">
      <t>テイド</t>
    </rPh>
    <rPh sb="6" eb="8">
      <t>ショウサイ</t>
    </rPh>
    <rPh sb="14" eb="16">
      <t>ホソク</t>
    </rPh>
    <rPh sb="16" eb="18">
      <t>カイセツ</t>
    </rPh>
    <rPh sb="24" eb="26">
      <t>キサイ</t>
    </rPh>
    <phoneticPr fontId="1"/>
  </si>
  <si>
    <t>まず1）については、国交省は次のような性能を想定しています。なお、この一次エネ消費量は居室間欠暖冷房の場合の数値であることに注意が必要です（補足解説を参照してください）。</t>
    <rPh sb="10" eb="13">
      <t>コッコウショウ</t>
    </rPh>
    <rPh sb="14" eb="15">
      <t>ツギ</t>
    </rPh>
    <rPh sb="19" eb="21">
      <t>セイノウ</t>
    </rPh>
    <rPh sb="22" eb="24">
      <t>ソウテイ</t>
    </rPh>
    <rPh sb="35" eb="37">
      <t>イチジ</t>
    </rPh>
    <rPh sb="39" eb="42">
      <t>ショウヒリョウ</t>
    </rPh>
    <rPh sb="43" eb="45">
      <t>キョシツ</t>
    </rPh>
    <rPh sb="45" eb="47">
      <t>カンケツ</t>
    </rPh>
    <rPh sb="47" eb="50">
      <t>ダンレイボウ</t>
    </rPh>
    <rPh sb="51" eb="53">
      <t>バアイ</t>
    </rPh>
    <rPh sb="54" eb="56">
      <t>スウチ</t>
    </rPh>
    <rPh sb="62" eb="64">
      <t>チュウイ</t>
    </rPh>
    <rPh sb="65" eb="67">
      <t>ヒツヨウ</t>
    </rPh>
    <rPh sb="70" eb="72">
      <t>ホソク</t>
    </rPh>
    <rPh sb="72" eb="74">
      <t>カイセツ</t>
    </rPh>
    <rPh sb="73" eb="74">
      <t>ショウカイ</t>
    </rPh>
    <rPh sb="75" eb="77">
      <t>サンショウ</t>
    </rPh>
    <phoneticPr fontId="1"/>
  </si>
  <si>
    <t>国交省は2030年以降の具体的な計画を示していないため、将来の進化を想定しつつ以下のような3つの選択肢を設けて計算します（詳しくは補足解説を参照してください）。</t>
    <rPh sb="0" eb="3">
      <t>コッコウショウ</t>
    </rPh>
    <rPh sb="8" eb="9">
      <t>ネン</t>
    </rPh>
    <rPh sb="9" eb="11">
      <t>イコウ</t>
    </rPh>
    <rPh sb="12" eb="15">
      <t>グタイテキ</t>
    </rPh>
    <rPh sb="16" eb="18">
      <t>ケイカク</t>
    </rPh>
    <rPh sb="19" eb="20">
      <t>シメ</t>
    </rPh>
    <rPh sb="28" eb="30">
      <t>ショウライ</t>
    </rPh>
    <rPh sb="31" eb="33">
      <t>シンカ</t>
    </rPh>
    <rPh sb="34" eb="36">
      <t>ソウテイ</t>
    </rPh>
    <rPh sb="39" eb="41">
      <t>イカ</t>
    </rPh>
    <rPh sb="48" eb="51">
      <t>センタクシ</t>
    </rPh>
    <rPh sb="52" eb="53">
      <t>モウ</t>
    </rPh>
    <rPh sb="55" eb="57">
      <t>ケイサン</t>
    </rPh>
    <rPh sb="65" eb="67">
      <t>ホソク</t>
    </rPh>
    <phoneticPr fontId="1"/>
  </si>
  <si>
    <t>「解説等」のところにも書いたように、国交省が公開している省エネ量計算（原油換算）の関連資料には不明な点（ブラックボックス）が多く、どのような条件によって計算されたかを探るのは相当に困難でした。</t>
    <rPh sb="1" eb="3">
      <t>カイセツ</t>
    </rPh>
    <rPh sb="3" eb="4">
      <t>トウ</t>
    </rPh>
    <rPh sb="11" eb="12">
      <t>カ</t>
    </rPh>
    <rPh sb="18" eb="21">
      <t>コッコウショウ</t>
    </rPh>
    <rPh sb="22" eb="24">
      <t>コウカイ</t>
    </rPh>
    <rPh sb="28" eb="29">
      <t>ショウ</t>
    </rPh>
    <rPh sb="31" eb="32">
      <t>リョウ</t>
    </rPh>
    <rPh sb="32" eb="34">
      <t>ケイサン</t>
    </rPh>
    <rPh sb="35" eb="37">
      <t>ゲンユ</t>
    </rPh>
    <rPh sb="37" eb="39">
      <t>カンサン</t>
    </rPh>
    <rPh sb="41" eb="43">
      <t>カンレン</t>
    </rPh>
    <rPh sb="43" eb="45">
      <t>シリョウ</t>
    </rPh>
    <rPh sb="47" eb="49">
      <t>フメイ</t>
    </rPh>
    <rPh sb="50" eb="51">
      <t>テン</t>
    </rPh>
    <rPh sb="62" eb="63">
      <t>オオ</t>
    </rPh>
    <rPh sb="70" eb="72">
      <t>ジョウケン</t>
    </rPh>
    <rPh sb="76" eb="78">
      <t>ケイサン</t>
    </rPh>
    <rPh sb="83" eb="84">
      <t>サグ</t>
    </rPh>
    <rPh sb="87" eb="89">
      <t>ソウトウ</t>
    </rPh>
    <rPh sb="90" eb="92">
      <t>コンナン</t>
    </rPh>
    <phoneticPr fontId="1"/>
  </si>
  <si>
    <t>例えれば、情報公開請求によって公開された文書にたくさんの黒塗りが施されていて、その全貌がつかめないのと似ています。</t>
    <rPh sb="0" eb="1">
      <t>タト</t>
    </rPh>
    <rPh sb="5" eb="7">
      <t>ジョウホウ</t>
    </rPh>
    <rPh sb="7" eb="9">
      <t>コウカイ</t>
    </rPh>
    <rPh sb="9" eb="11">
      <t>セイキュウ</t>
    </rPh>
    <rPh sb="15" eb="17">
      <t>コウカイ</t>
    </rPh>
    <rPh sb="20" eb="22">
      <t>ブンショ</t>
    </rPh>
    <rPh sb="28" eb="30">
      <t>クロヌ</t>
    </rPh>
    <rPh sb="32" eb="33">
      <t>ホドコ</t>
    </rPh>
    <rPh sb="41" eb="43">
      <t>ゼンボウ</t>
    </rPh>
    <rPh sb="51" eb="52">
      <t>ニ</t>
    </rPh>
    <phoneticPr fontId="1"/>
  </si>
  <si>
    <t>一方で2030年時点での省エネ量（原油換算）は具体的に示されているので、様々に試行錯誤しながらその結果に合うような計算条件（ブラックボックスの中身）を求める必要があったわけです。</t>
    <rPh sb="0" eb="2">
      <t>イッポウ</t>
    </rPh>
    <rPh sb="7" eb="8">
      <t>ネン</t>
    </rPh>
    <rPh sb="8" eb="10">
      <t>ジテン</t>
    </rPh>
    <rPh sb="12" eb="13">
      <t>ショウ</t>
    </rPh>
    <rPh sb="15" eb="16">
      <t>リョウ</t>
    </rPh>
    <rPh sb="17" eb="19">
      <t>ゲンユ</t>
    </rPh>
    <rPh sb="19" eb="21">
      <t>カンサン</t>
    </rPh>
    <rPh sb="23" eb="26">
      <t>グタイテキ</t>
    </rPh>
    <rPh sb="27" eb="28">
      <t>シメ</t>
    </rPh>
    <rPh sb="36" eb="38">
      <t>サマザマ</t>
    </rPh>
    <rPh sb="39" eb="43">
      <t>シコウサクゴ</t>
    </rPh>
    <rPh sb="49" eb="51">
      <t>ケッカ</t>
    </rPh>
    <rPh sb="52" eb="53">
      <t>ア</t>
    </rPh>
    <rPh sb="57" eb="59">
      <t>ケイサン</t>
    </rPh>
    <rPh sb="59" eb="61">
      <t>ジョウケン</t>
    </rPh>
    <rPh sb="71" eb="73">
      <t>ナカミ</t>
    </rPh>
    <rPh sb="75" eb="76">
      <t>モト</t>
    </rPh>
    <rPh sb="78" eb="80">
      <t>ヒツヨウ</t>
    </rPh>
    <phoneticPr fontId="1"/>
  </si>
  <si>
    <t>そのブラックボックスのすべてをここで挙げることはできませんが、とくに重要と思われるものを以下に挙げます。</t>
    <rPh sb="18" eb="19">
      <t>ア</t>
    </rPh>
    <rPh sb="34" eb="36">
      <t>ジュウヨウ</t>
    </rPh>
    <rPh sb="37" eb="38">
      <t>オモ</t>
    </rPh>
    <rPh sb="44" eb="46">
      <t>イカ</t>
    </rPh>
    <rPh sb="47" eb="48">
      <t>ア</t>
    </rPh>
    <phoneticPr fontId="1"/>
  </si>
  <si>
    <t>1）2013年～2030年までの各年の性能別新築割合</t>
    <rPh sb="6" eb="7">
      <t>ネン</t>
    </rPh>
    <rPh sb="12" eb="13">
      <t>ネン</t>
    </rPh>
    <rPh sb="16" eb="18">
      <t>カクネン</t>
    </rPh>
    <rPh sb="19" eb="21">
      <t>セイノウ</t>
    </rPh>
    <rPh sb="21" eb="22">
      <t>ベツ</t>
    </rPh>
    <rPh sb="22" eb="24">
      <t>シンチク</t>
    </rPh>
    <rPh sb="24" eb="26">
      <t>ワリアイ</t>
    </rPh>
    <phoneticPr fontId="1"/>
  </si>
  <si>
    <t>国交省の資料ではこの割合が飛び飛びの年しか示されておらず、適切な計算条件を整えるにはこの割合を仮説する必要がありました。</t>
    <rPh sb="0" eb="3">
      <t>コッコウショウ</t>
    </rPh>
    <rPh sb="4" eb="6">
      <t>シリョウ</t>
    </rPh>
    <rPh sb="10" eb="12">
      <t>ワリアイ</t>
    </rPh>
    <rPh sb="13" eb="14">
      <t>ト</t>
    </rPh>
    <rPh sb="15" eb="16">
      <t>ト</t>
    </rPh>
    <rPh sb="18" eb="19">
      <t>ネン</t>
    </rPh>
    <rPh sb="21" eb="22">
      <t>シメ</t>
    </rPh>
    <rPh sb="29" eb="31">
      <t>テキセツ</t>
    </rPh>
    <rPh sb="32" eb="34">
      <t>ケイサン</t>
    </rPh>
    <rPh sb="34" eb="36">
      <t>ジョウケン</t>
    </rPh>
    <rPh sb="37" eb="38">
      <t>トトノ</t>
    </rPh>
    <rPh sb="44" eb="46">
      <t>ワリアイ</t>
    </rPh>
    <rPh sb="47" eb="49">
      <t>カセツ</t>
    </rPh>
    <rPh sb="51" eb="53">
      <t>ヒツヨウ</t>
    </rPh>
    <phoneticPr fontId="1"/>
  </si>
  <si>
    <t>2）2013年～2030年までの各年の新築着工戸数</t>
    <rPh sb="6" eb="7">
      <t>ネン</t>
    </rPh>
    <rPh sb="12" eb="13">
      <t>ネン</t>
    </rPh>
    <rPh sb="16" eb="18">
      <t>カクネン</t>
    </rPh>
    <rPh sb="19" eb="21">
      <t>シンチク</t>
    </rPh>
    <rPh sb="21" eb="23">
      <t>チャッコウ</t>
    </rPh>
    <rPh sb="23" eb="25">
      <t>コスウ</t>
    </rPh>
    <phoneticPr fontId="1"/>
  </si>
  <si>
    <t>従って、この数値も独自に設定する必要がありました。</t>
    <rPh sb="0" eb="1">
      <t>シタガ</t>
    </rPh>
    <rPh sb="6" eb="8">
      <t>スウチ</t>
    </rPh>
    <rPh sb="9" eb="11">
      <t>ドクジ</t>
    </rPh>
    <rPh sb="12" eb="14">
      <t>セッテイ</t>
    </rPh>
    <rPh sb="16" eb="18">
      <t>ヒツヨウ</t>
    </rPh>
    <phoneticPr fontId="1"/>
  </si>
  <si>
    <t>3）改修の内容</t>
    <rPh sb="2" eb="4">
      <t>カイシュウ</t>
    </rPh>
    <rPh sb="5" eb="7">
      <t>ナイヨウ</t>
    </rPh>
    <phoneticPr fontId="1"/>
  </si>
  <si>
    <t>25万戸/年という数値は示されているのですが、戸建て住宅と共同住宅の比率が不明であり、いくつかの資料を参照しながらこれも結果に合うように仮説を立てる必要がありました。</t>
    <rPh sb="2" eb="4">
      <t>マンコ</t>
    </rPh>
    <rPh sb="5" eb="6">
      <t>ネン</t>
    </rPh>
    <rPh sb="9" eb="11">
      <t>スウチ</t>
    </rPh>
    <rPh sb="12" eb="13">
      <t>シメ</t>
    </rPh>
    <rPh sb="23" eb="25">
      <t>コダ</t>
    </rPh>
    <rPh sb="26" eb="28">
      <t>ジュウタク</t>
    </rPh>
    <rPh sb="29" eb="31">
      <t>キョウドウ</t>
    </rPh>
    <rPh sb="31" eb="33">
      <t>ジュウタク</t>
    </rPh>
    <rPh sb="34" eb="36">
      <t>ヒリツ</t>
    </rPh>
    <rPh sb="37" eb="39">
      <t>フメイ</t>
    </rPh>
    <rPh sb="48" eb="50">
      <t>シリョウ</t>
    </rPh>
    <rPh sb="51" eb="53">
      <t>サンショウ</t>
    </rPh>
    <rPh sb="60" eb="62">
      <t>ケッカ</t>
    </rPh>
    <rPh sb="63" eb="64">
      <t>ア</t>
    </rPh>
    <rPh sb="68" eb="70">
      <t>カセツ</t>
    </rPh>
    <rPh sb="71" eb="72">
      <t>タ</t>
    </rPh>
    <rPh sb="74" eb="76">
      <t>ヒツヨウ</t>
    </rPh>
    <phoneticPr fontId="1"/>
  </si>
  <si>
    <t>さらに、性能レベルごとの改修戸数についても不明であり、同じく仮説を立てる必要がありました。</t>
    <rPh sb="4" eb="6">
      <t>セイノウ</t>
    </rPh>
    <rPh sb="12" eb="14">
      <t>カイシュウ</t>
    </rPh>
    <rPh sb="14" eb="16">
      <t>コスウ</t>
    </rPh>
    <rPh sb="21" eb="23">
      <t>フメイ</t>
    </rPh>
    <rPh sb="27" eb="28">
      <t>オナ</t>
    </rPh>
    <rPh sb="30" eb="32">
      <t>カセツ</t>
    </rPh>
    <rPh sb="33" eb="34">
      <t>タ</t>
    </rPh>
    <rPh sb="36" eb="38">
      <t>ヒツヨウ</t>
    </rPh>
    <phoneticPr fontId="1"/>
  </si>
  <si>
    <t>4）計算結果と実績との補正</t>
    <rPh sb="2" eb="4">
      <t>ケイサン</t>
    </rPh>
    <rPh sb="4" eb="6">
      <t>ケッカ</t>
    </rPh>
    <rPh sb="7" eb="9">
      <t>ジッセキ</t>
    </rPh>
    <rPh sb="11" eb="13">
      <t>ホセイ</t>
    </rPh>
    <phoneticPr fontId="1"/>
  </si>
  <si>
    <t>最終的な省エネ量は計算結果と実績とを比較して補正をしているとの記載があったのですが、様々な実績資料を調べても「予想される国交省の補正」との乖離が大きく、仕方なく結果に合うような補正をすることにしました。</t>
    <rPh sb="0" eb="3">
      <t>サイシュウテキ</t>
    </rPh>
    <rPh sb="4" eb="5">
      <t>ショウ</t>
    </rPh>
    <rPh sb="7" eb="8">
      <t>リョウ</t>
    </rPh>
    <rPh sb="9" eb="11">
      <t>ケイサン</t>
    </rPh>
    <rPh sb="11" eb="13">
      <t>ケッカ</t>
    </rPh>
    <rPh sb="14" eb="16">
      <t>ジッセキ</t>
    </rPh>
    <rPh sb="18" eb="20">
      <t>ヒカク</t>
    </rPh>
    <rPh sb="22" eb="24">
      <t>ホセイ</t>
    </rPh>
    <rPh sb="31" eb="33">
      <t>キサイ</t>
    </rPh>
    <rPh sb="42" eb="44">
      <t>サマザマ</t>
    </rPh>
    <rPh sb="45" eb="47">
      <t>ジッセキ</t>
    </rPh>
    <rPh sb="47" eb="49">
      <t>シリョウ</t>
    </rPh>
    <rPh sb="50" eb="51">
      <t>シラ</t>
    </rPh>
    <rPh sb="55" eb="57">
      <t>ヨソウ</t>
    </rPh>
    <rPh sb="60" eb="63">
      <t>コッコウショウ</t>
    </rPh>
    <rPh sb="64" eb="66">
      <t>ホセイ</t>
    </rPh>
    <rPh sb="69" eb="71">
      <t>カイリ</t>
    </rPh>
    <rPh sb="72" eb="73">
      <t>オオ</t>
    </rPh>
    <rPh sb="76" eb="78">
      <t>シカタ</t>
    </rPh>
    <rPh sb="80" eb="82">
      <t>ケッカ</t>
    </rPh>
    <rPh sb="83" eb="84">
      <t>ア</t>
    </rPh>
    <rPh sb="88" eb="90">
      <t>ホセイ</t>
    </rPh>
    <phoneticPr fontId="1"/>
  </si>
  <si>
    <t>国交省の資料にはこの数値の出典が記載されていましたが、戸建て住宅と共同住宅の比率も含めて具体的な数値が示されておらず、またこの出典の数値をそのまま使っても計算途中で矛盾が生じる事態となりました。</t>
    <rPh sb="0" eb="3">
      <t>コッコウショウ</t>
    </rPh>
    <rPh sb="4" eb="6">
      <t>シリョウ</t>
    </rPh>
    <rPh sb="10" eb="12">
      <t>スウチ</t>
    </rPh>
    <rPh sb="13" eb="15">
      <t>シュッテン</t>
    </rPh>
    <rPh sb="16" eb="18">
      <t>キサイ</t>
    </rPh>
    <rPh sb="27" eb="29">
      <t>コダ</t>
    </rPh>
    <rPh sb="30" eb="32">
      <t>ジュウタク</t>
    </rPh>
    <rPh sb="33" eb="35">
      <t>キョウドウ</t>
    </rPh>
    <rPh sb="35" eb="37">
      <t>ジュウタク</t>
    </rPh>
    <rPh sb="38" eb="40">
      <t>ヒリツ</t>
    </rPh>
    <rPh sb="41" eb="42">
      <t>フク</t>
    </rPh>
    <rPh sb="44" eb="47">
      <t>グタイテキ</t>
    </rPh>
    <rPh sb="48" eb="50">
      <t>スウチ</t>
    </rPh>
    <rPh sb="51" eb="52">
      <t>シメ</t>
    </rPh>
    <rPh sb="63" eb="65">
      <t>シュッテン</t>
    </rPh>
    <rPh sb="66" eb="68">
      <t>スウチ</t>
    </rPh>
    <rPh sb="73" eb="74">
      <t>ツカ</t>
    </rPh>
    <rPh sb="77" eb="79">
      <t>ケイサン</t>
    </rPh>
    <rPh sb="79" eb="81">
      <t>トチュウ</t>
    </rPh>
    <rPh sb="82" eb="84">
      <t>ムジュン</t>
    </rPh>
    <rPh sb="85" eb="86">
      <t>ショウ</t>
    </rPh>
    <rPh sb="88" eb="90">
      <t>ジタイ</t>
    </rPh>
    <phoneticPr fontId="1"/>
  </si>
  <si>
    <t>結果的に共同住宅の改修戸数が相当に少ないという計算条件になっています。</t>
    <rPh sb="0" eb="3">
      <t>ケッカテキ</t>
    </rPh>
    <rPh sb="4" eb="6">
      <t>キョウドウ</t>
    </rPh>
    <rPh sb="6" eb="8">
      <t>ジュウタク</t>
    </rPh>
    <rPh sb="9" eb="11">
      <t>カイシュウ</t>
    </rPh>
    <rPh sb="11" eb="13">
      <t>コスウ</t>
    </rPh>
    <rPh sb="14" eb="16">
      <t>ソウトウ</t>
    </rPh>
    <rPh sb="17" eb="18">
      <t>スク</t>
    </rPh>
    <rPh sb="23" eb="25">
      <t>ケイサン</t>
    </rPh>
    <rPh sb="25" eb="27">
      <t>ジョウケン</t>
    </rPh>
    <phoneticPr fontId="1"/>
  </si>
  <si>
    <t>1．本プログラムの根拠とした国交省の資料について</t>
    <rPh sb="2" eb="3">
      <t>ホン</t>
    </rPh>
    <rPh sb="9" eb="11">
      <t>コンキョ</t>
    </rPh>
    <rPh sb="14" eb="17">
      <t>コッコウショウ</t>
    </rPh>
    <rPh sb="18" eb="20">
      <t>シリョウ</t>
    </rPh>
    <phoneticPr fontId="1"/>
  </si>
  <si>
    <t>計算条件を探る作業には関係がないのですが、まず私が国交省の資料を見て感じたのが「性能別の一次エネ消費量はこんな単純な設定で良いの？」ということでした。しかもこの数値にしている説明が一切ありません。</t>
    <rPh sb="0" eb="2">
      <t>ケイサン</t>
    </rPh>
    <rPh sb="2" eb="4">
      <t>ジョウケン</t>
    </rPh>
    <rPh sb="5" eb="6">
      <t>サグ</t>
    </rPh>
    <rPh sb="7" eb="9">
      <t>サギョウ</t>
    </rPh>
    <rPh sb="11" eb="13">
      <t>カンケイ</t>
    </rPh>
    <rPh sb="23" eb="24">
      <t>ワタシ</t>
    </rPh>
    <rPh sb="25" eb="28">
      <t>コッコウショウ</t>
    </rPh>
    <rPh sb="29" eb="31">
      <t>シリョウ</t>
    </rPh>
    <rPh sb="32" eb="33">
      <t>ミ</t>
    </rPh>
    <rPh sb="34" eb="35">
      <t>カン</t>
    </rPh>
    <rPh sb="40" eb="42">
      <t>セイノウ</t>
    </rPh>
    <rPh sb="42" eb="43">
      <t>ベツ</t>
    </rPh>
    <rPh sb="44" eb="46">
      <t>イチジ</t>
    </rPh>
    <rPh sb="48" eb="51">
      <t>ショウヒリョウ</t>
    </rPh>
    <rPh sb="55" eb="57">
      <t>タンジュン</t>
    </rPh>
    <rPh sb="58" eb="60">
      <t>セッテイ</t>
    </rPh>
    <rPh sb="61" eb="62">
      <t>ヨ</t>
    </rPh>
    <rPh sb="80" eb="82">
      <t>スウチ</t>
    </rPh>
    <rPh sb="87" eb="89">
      <t>セツメイ</t>
    </rPh>
    <rPh sb="90" eb="92">
      <t>イッサイ</t>
    </rPh>
    <phoneticPr fontId="1"/>
  </si>
  <si>
    <t>BEI=1.0の一次エネ消費量は「80.7GJ/戸･年」になっていて、これは明らかに6地域の基準一次エネルギー消費量です。</t>
    <rPh sb="8" eb="10">
      <t>イチジ</t>
    </rPh>
    <rPh sb="12" eb="15">
      <t>ショウヒリョウ</t>
    </rPh>
    <rPh sb="24" eb="25">
      <t>コ</t>
    </rPh>
    <rPh sb="26" eb="27">
      <t>ネン</t>
    </rPh>
    <rPh sb="38" eb="39">
      <t>アキ</t>
    </rPh>
    <rPh sb="43" eb="45">
      <t>チイキ</t>
    </rPh>
    <rPh sb="46" eb="48">
      <t>キジュン</t>
    </rPh>
    <rPh sb="48" eb="50">
      <t>イチジ</t>
    </rPh>
    <rPh sb="55" eb="58">
      <t>ショウヒリョウ</t>
    </rPh>
    <phoneticPr fontId="1"/>
  </si>
  <si>
    <t>なので、これはまず間違いなく6地域として設定され、計算されています。地域を限定した想定で全国の省エネ量を計算して良いのでしょうか？</t>
    <rPh sb="9" eb="11">
      <t>マチガ</t>
    </rPh>
    <rPh sb="15" eb="17">
      <t>チイキ</t>
    </rPh>
    <rPh sb="20" eb="22">
      <t>セッテイ</t>
    </rPh>
    <rPh sb="25" eb="27">
      <t>ケイサン</t>
    </rPh>
    <rPh sb="34" eb="36">
      <t>チイキ</t>
    </rPh>
    <rPh sb="37" eb="39">
      <t>ゲンテイ</t>
    </rPh>
    <rPh sb="41" eb="43">
      <t>ソウテイ</t>
    </rPh>
    <rPh sb="44" eb="46">
      <t>ゼンコク</t>
    </rPh>
    <rPh sb="47" eb="48">
      <t>ショウ</t>
    </rPh>
    <rPh sb="50" eb="51">
      <t>リョウ</t>
    </rPh>
    <rPh sb="52" eb="54">
      <t>ケイサン</t>
    </rPh>
    <rPh sb="56" eb="57">
      <t>ヨ</t>
    </rPh>
    <phoneticPr fontId="1"/>
  </si>
  <si>
    <t>そんな疑問を持った私は、馬鹿馬鹿しいとは感じながら、省エネ地域区分ごとの世帯数をカウントするという作業をしました（これだけでも相当な時間を食いました）。</t>
    <rPh sb="3" eb="5">
      <t>ギモン</t>
    </rPh>
    <rPh sb="6" eb="7">
      <t>モ</t>
    </rPh>
    <rPh sb="9" eb="10">
      <t>ワタシ</t>
    </rPh>
    <rPh sb="12" eb="16">
      <t>バカバカ</t>
    </rPh>
    <rPh sb="20" eb="21">
      <t>カン</t>
    </rPh>
    <rPh sb="26" eb="27">
      <t>ショウ</t>
    </rPh>
    <rPh sb="29" eb="31">
      <t>チイキ</t>
    </rPh>
    <rPh sb="31" eb="33">
      <t>クブン</t>
    </rPh>
    <rPh sb="36" eb="39">
      <t>セタイスウ</t>
    </rPh>
    <rPh sb="49" eb="51">
      <t>サギョウ</t>
    </rPh>
    <rPh sb="63" eb="65">
      <t>ソウトウ</t>
    </rPh>
    <rPh sb="66" eb="68">
      <t>ジカン</t>
    </rPh>
    <rPh sb="69" eb="70">
      <t>ク</t>
    </rPh>
    <phoneticPr fontId="1"/>
  </si>
  <si>
    <t>あくまでこの結果は省エネ基準レベルの一次エネに限ったことであり、別の性能レベルではどうなるかはわかりませんが、6地域以外でもBEIの数値を参考に地域ごとの一次エネを考えていけば良さそうです。</t>
    <rPh sb="6" eb="8">
      <t>ケッカ</t>
    </rPh>
    <rPh sb="9" eb="10">
      <t>ショウ</t>
    </rPh>
    <rPh sb="12" eb="14">
      <t>キジュン</t>
    </rPh>
    <rPh sb="18" eb="20">
      <t>イチジ</t>
    </rPh>
    <rPh sb="23" eb="24">
      <t>カギ</t>
    </rPh>
    <rPh sb="32" eb="33">
      <t>ベツ</t>
    </rPh>
    <rPh sb="34" eb="36">
      <t>セイノウ</t>
    </rPh>
    <rPh sb="56" eb="58">
      <t>チイキ</t>
    </rPh>
    <rPh sb="58" eb="60">
      <t>イガイ</t>
    </rPh>
    <rPh sb="66" eb="68">
      <t>スウチ</t>
    </rPh>
    <rPh sb="69" eb="71">
      <t>サンコウ</t>
    </rPh>
    <rPh sb="72" eb="74">
      <t>チイキ</t>
    </rPh>
    <rPh sb="77" eb="79">
      <t>イチジ</t>
    </rPh>
    <rPh sb="82" eb="83">
      <t>カンガ</t>
    </rPh>
    <rPh sb="88" eb="89">
      <t>ヨ</t>
    </rPh>
    <phoneticPr fontId="1"/>
  </si>
  <si>
    <t>そうして求めた世帯数比率に地域ごとの基準一次エネルギー消費量をかけ算してみて平均値を出してみると、6地域の基準値に近くなりました。偶然なのか、国交省はこれをわかっていたのか？</t>
    <rPh sb="4" eb="5">
      <t>モト</t>
    </rPh>
    <rPh sb="7" eb="10">
      <t>セタイスウ</t>
    </rPh>
    <rPh sb="10" eb="12">
      <t>ヒリツ</t>
    </rPh>
    <rPh sb="13" eb="15">
      <t>チイキ</t>
    </rPh>
    <rPh sb="18" eb="20">
      <t>キジュン</t>
    </rPh>
    <rPh sb="20" eb="22">
      <t>イチジ</t>
    </rPh>
    <rPh sb="27" eb="30">
      <t>ショウヒリョウ</t>
    </rPh>
    <rPh sb="33" eb="34">
      <t>ザン</t>
    </rPh>
    <rPh sb="38" eb="41">
      <t>ヘイキンチ</t>
    </rPh>
    <rPh sb="42" eb="43">
      <t>ダ</t>
    </rPh>
    <rPh sb="50" eb="52">
      <t>チイキ</t>
    </rPh>
    <rPh sb="53" eb="55">
      <t>キジュン</t>
    </rPh>
    <rPh sb="55" eb="56">
      <t>チ</t>
    </rPh>
    <rPh sb="57" eb="58">
      <t>チカ</t>
    </rPh>
    <rPh sb="65" eb="67">
      <t>グウゼン</t>
    </rPh>
    <rPh sb="71" eb="74">
      <t>コッコウショウ</t>
    </rPh>
    <phoneticPr fontId="1"/>
  </si>
  <si>
    <t>1）6地域のみで計算されている？</t>
    <rPh sb="3" eb="5">
      <t>チイキ</t>
    </rPh>
    <rPh sb="8" eb="10">
      <t>ケイサン</t>
    </rPh>
    <phoneticPr fontId="1"/>
  </si>
  <si>
    <t>2）居室間欠暖冷房を想定している？</t>
    <rPh sb="2" eb="4">
      <t>キョシツ</t>
    </rPh>
    <rPh sb="4" eb="6">
      <t>カンケツ</t>
    </rPh>
    <rPh sb="6" eb="9">
      <t>ダンレイボウ</t>
    </rPh>
    <rPh sb="10" eb="12">
      <t>ソウテイ</t>
    </rPh>
    <phoneticPr fontId="1"/>
  </si>
  <si>
    <t>次の問題は暖冷房の想定です。</t>
    <rPh sb="0" eb="1">
      <t>ツギ</t>
    </rPh>
    <rPh sb="2" eb="4">
      <t>モンダイ</t>
    </rPh>
    <rPh sb="5" eb="8">
      <t>ダンレイボウ</t>
    </rPh>
    <rPh sb="9" eb="11">
      <t>ソウテイ</t>
    </rPh>
    <phoneticPr fontId="1"/>
  </si>
  <si>
    <t>たとえば無断熱戸建て住宅の一次エネ消費量は134.4GJ/戸･年と示されているのですが、その根拠がわからないので、今後の具体的な施策の効果を評価するのが難しい状況だといえます。</t>
    <rPh sb="4" eb="5">
      <t>ム</t>
    </rPh>
    <rPh sb="5" eb="7">
      <t>ダンネツ</t>
    </rPh>
    <rPh sb="7" eb="9">
      <t>コダ</t>
    </rPh>
    <rPh sb="10" eb="12">
      <t>ジュウタク</t>
    </rPh>
    <rPh sb="13" eb="15">
      <t>イチジ</t>
    </rPh>
    <rPh sb="17" eb="20">
      <t>ショウヒリョウ</t>
    </rPh>
    <rPh sb="29" eb="30">
      <t>コ</t>
    </rPh>
    <rPh sb="31" eb="32">
      <t>ネン</t>
    </rPh>
    <rPh sb="33" eb="34">
      <t>シメ</t>
    </rPh>
    <rPh sb="46" eb="48">
      <t>コンキョ</t>
    </rPh>
    <rPh sb="57" eb="59">
      <t>コンゴ</t>
    </rPh>
    <rPh sb="60" eb="63">
      <t>グタイテキ</t>
    </rPh>
    <rPh sb="64" eb="66">
      <t>シサク</t>
    </rPh>
    <rPh sb="67" eb="69">
      <t>コウカ</t>
    </rPh>
    <rPh sb="70" eb="72">
      <t>ヒョウカ</t>
    </rPh>
    <rPh sb="76" eb="77">
      <t>ムツカ</t>
    </rPh>
    <rPh sb="79" eb="81">
      <t>ジョウキョウ</t>
    </rPh>
    <phoneticPr fontId="1"/>
  </si>
  <si>
    <t>3）性能別の一次エネ消費量の算出根拠がわからない</t>
    <rPh sb="2" eb="4">
      <t>セイノウ</t>
    </rPh>
    <rPh sb="4" eb="5">
      <t>ベツ</t>
    </rPh>
    <rPh sb="6" eb="8">
      <t>イチジ</t>
    </rPh>
    <rPh sb="10" eb="13">
      <t>ショウヒリョウ</t>
    </rPh>
    <rPh sb="14" eb="16">
      <t>サンシュツ</t>
    </rPh>
    <rPh sb="16" eb="18">
      <t>コンキョ</t>
    </rPh>
    <phoneticPr fontId="1"/>
  </si>
  <si>
    <t>3．共同住宅の計算について</t>
    <rPh sb="2" eb="4">
      <t>キョウドウ</t>
    </rPh>
    <rPh sb="4" eb="6">
      <t>ジュウタク</t>
    </rPh>
    <rPh sb="7" eb="9">
      <t>ケイサン</t>
    </rPh>
    <phoneticPr fontId="1"/>
  </si>
  <si>
    <t>2．性能別の一次エネ消費量について</t>
    <rPh sb="2" eb="4">
      <t>セイノウ</t>
    </rPh>
    <rPh sb="4" eb="5">
      <t>ベツ</t>
    </rPh>
    <rPh sb="6" eb="8">
      <t>イチジ</t>
    </rPh>
    <rPh sb="10" eb="13">
      <t>ショウヒリョウ</t>
    </rPh>
    <phoneticPr fontId="1"/>
  </si>
  <si>
    <t>私の仕事のほとんどが戸建て住宅を対象にしているので、共同住宅についての知識がかなり薄い状況です。</t>
    <rPh sb="0" eb="1">
      <t>ワタシ</t>
    </rPh>
    <rPh sb="2" eb="4">
      <t>シゴト</t>
    </rPh>
    <rPh sb="10" eb="12">
      <t>コダ</t>
    </rPh>
    <rPh sb="13" eb="15">
      <t>ジュウタク</t>
    </rPh>
    <rPh sb="16" eb="18">
      <t>タイショウ</t>
    </rPh>
    <rPh sb="26" eb="28">
      <t>キョウドウ</t>
    </rPh>
    <rPh sb="28" eb="30">
      <t>ジュウタク</t>
    </rPh>
    <rPh sb="35" eb="37">
      <t>チシキ</t>
    </rPh>
    <rPh sb="41" eb="42">
      <t>ウス</t>
    </rPh>
    <rPh sb="43" eb="45">
      <t>ジョウキョウ</t>
    </rPh>
    <phoneticPr fontId="1"/>
  </si>
  <si>
    <t>なので、このプログラムにおいても戸建て住宅に比べて共同住宅の内容が薄くなっていることをご了解ください。</t>
    <rPh sb="16" eb="18">
      <t>コダ</t>
    </rPh>
    <rPh sb="19" eb="21">
      <t>ジュウタク</t>
    </rPh>
    <rPh sb="22" eb="23">
      <t>クラ</t>
    </rPh>
    <rPh sb="25" eb="27">
      <t>キョウドウ</t>
    </rPh>
    <rPh sb="27" eb="29">
      <t>ジュウタク</t>
    </rPh>
    <rPh sb="30" eb="32">
      <t>ナイヨウ</t>
    </rPh>
    <rPh sb="33" eb="34">
      <t>ウス</t>
    </rPh>
    <rPh sb="44" eb="46">
      <t>リョウカイ</t>
    </rPh>
    <phoneticPr fontId="1"/>
  </si>
  <si>
    <t>たとえば「断熱性能：ZEH」「暖冷房方法：居室間欠」「換気方式：第3種」「全館空調補正：なし」「給湯設備：標準」という選択をするなら、それは4地域でも「想定①」と見なしてよいということです。</t>
    <rPh sb="5" eb="7">
      <t>ダンネツ</t>
    </rPh>
    <rPh sb="7" eb="9">
      <t>セイノウ</t>
    </rPh>
    <rPh sb="15" eb="18">
      <t>ダンレイボウ</t>
    </rPh>
    <rPh sb="18" eb="20">
      <t>ホウホウ</t>
    </rPh>
    <rPh sb="21" eb="23">
      <t>キョシツ</t>
    </rPh>
    <rPh sb="23" eb="25">
      <t>カンケツ</t>
    </rPh>
    <rPh sb="27" eb="29">
      <t>カンキ</t>
    </rPh>
    <rPh sb="29" eb="31">
      <t>ホウシキ</t>
    </rPh>
    <rPh sb="32" eb="33">
      <t>ダイ</t>
    </rPh>
    <rPh sb="34" eb="35">
      <t>シュ</t>
    </rPh>
    <rPh sb="37" eb="39">
      <t>ゼンカン</t>
    </rPh>
    <rPh sb="39" eb="41">
      <t>クウチョウ</t>
    </rPh>
    <rPh sb="41" eb="43">
      <t>ホセイ</t>
    </rPh>
    <rPh sb="48" eb="50">
      <t>キュウトウ</t>
    </rPh>
    <rPh sb="50" eb="52">
      <t>セツビ</t>
    </rPh>
    <rPh sb="53" eb="55">
      <t>ヒョウジュン</t>
    </rPh>
    <rPh sb="59" eb="61">
      <t>センタク</t>
    </rPh>
    <rPh sb="71" eb="73">
      <t>チイキ</t>
    </rPh>
    <rPh sb="76" eb="78">
      <t>ソウテイ</t>
    </rPh>
    <rPh sb="81" eb="82">
      <t>ミ</t>
    </rPh>
    <phoneticPr fontId="1"/>
  </si>
  <si>
    <t>ここでも、一次エネ消費量のほうは無視して、想定例のほうに注目してください。</t>
    <rPh sb="5" eb="7">
      <t>イチジ</t>
    </rPh>
    <rPh sb="9" eb="12">
      <t>ショウヒリョウ</t>
    </rPh>
    <rPh sb="16" eb="18">
      <t>ムシ</t>
    </rPh>
    <rPh sb="21" eb="23">
      <t>ソウテイ</t>
    </rPh>
    <rPh sb="23" eb="24">
      <t>レイ</t>
    </rPh>
    <rPh sb="28" eb="30">
      <t>チュウモク</t>
    </rPh>
    <phoneticPr fontId="1"/>
  </si>
  <si>
    <t>5．細かな計算条件への問い合わせ</t>
    <rPh sb="2" eb="3">
      <t>コマ</t>
    </rPh>
    <rPh sb="5" eb="7">
      <t>ケイサン</t>
    </rPh>
    <rPh sb="7" eb="9">
      <t>ジョウケン</t>
    </rPh>
    <rPh sb="11" eb="12">
      <t>ト</t>
    </rPh>
    <rPh sb="13" eb="14">
      <t>ア</t>
    </rPh>
    <phoneticPr fontId="1"/>
  </si>
  <si>
    <t>私はこうしたプログラムをぜひ多くの人がつくってほしいと考えています。</t>
    <rPh sb="0" eb="1">
      <t>ワタシ</t>
    </rPh>
    <rPh sb="14" eb="15">
      <t>オオ</t>
    </rPh>
    <rPh sb="17" eb="18">
      <t>ヒト</t>
    </rPh>
    <rPh sb="27" eb="28">
      <t>カンガ</t>
    </rPh>
    <phoneticPr fontId="1"/>
  </si>
  <si>
    <t>そうした人がお互いに情報交換をすれば、精度の高いプログラムが生まれることにつながると思うからです。</t>
    <rPh sb="4" eb="5">
      <t>ヒト</t>
    </rPh>
    <rPh sb="7" eb="8">
      <t>タガ</t>
    </rPh>
    <rPh sb="10" eb="12">
      <t>ジョウホウ</t>
    </rPh>
    <rPh sb="12" eb="14">
      <t>コウカン</t>
    </rPh>
    <rPh sb="19" eb="21">
      <t>セイド</t>
    </rPh>
    <rPh sb="22" eb="23">
      <t>タカ</t>
    </rPh>
    <rPh sb="30" eb="31">
      <t>ウ</t>
    </rPh>
    <rPh sb="42" eb="43">
      <t>オモ</t>
    </rPh>
    <phoneticPr fontId="1"/>
  </si>
  <si>
    <t>またそうした人でなくても「このあたりはどのような設定になっているんだろう？」という疑問を持つ場合もあると思います。</t>
    <rPh sb="6" eb="7">
      <t>ヒト</t>
    </rPh>
    <rPh sb="24" eb="26">
      <t>セッテイ</t>
    </rPh>
    <rPh sb="41" eb="43">
      <t>ギモン</t>
    </rPh>
    <rPh sb="44" eb="45">
      <t>モ</t>
    </rPh>
    <rPh sb="46" eb="48">
      <t>バアイ</t>
    </rPh>
    <rPh sb="52" eb="53">
      <t>オモ</t>
    </rPh>
    <phoneticPr fontId="1"/>
  </si>
  <si>
    <t>もし同じようなプログラムをつくろうとしている人やこうした疑問を持った人が細かな計算条件について問い合わせをしたいと思われたなら、一度私までご連絡ください。</t>
    <rPh sb="2" eb="3">
      <t>オナ</t>
    </rPh>
    <rPh sb="22" eb="23">
      <t>ヒト</t>
    </rPh>
    <rPh sb="28" eb="30">
      <t>ギモン</t>
    </rPh>
    <rPh sb="31" eb="32">
      <t>モ</t>
    </rPh>
    <rPh sb="34" eb="35">
      <t>ヒト</t>
    </rPh>
    <rPh sb="36" eb="37">
      <t>コマ</t>
    </rPh>
    <rPh sb="39" eb="41">
      <t>ケイサン</t>
    </rPh>
    <rPh sb="41" eb="43">
      <t>ジョウケン</t>
    </rPh>
    <rPh sb="47" eb="48">
      <t>ト</t>
    </rPh>
    <rPh sb="49" eb="50">
      <t>ア</t>
    </rPh>
    <rPh sb="57" eb="58">
      <t>オモ</t>
    </rPh>
    <rPh sb="64" eb="66">
      <t>イチド</t>
    </rPh>
    <rPh sb="66" eb="67">
      <t>ワタシ</t>
    </rPh>
    <rPh sb="70" eb="72">
      <t>レンラク</t>
    </rPh>
    <phoneticPr fontId="1"/>
  </si>
  <si>
    <t>対応の時間手間の関係上、すべてのお問い合わせに答えられない場合もあるかと思いますが、そのあたりはご容赦ください。</t>
    <rPh sb="0" eb="2">
      <t>タイオウ</t>
    </rPh>
    <rPh sb="3" eb="5">
      <t>ジカン</t>
    </rPh>
    <rPh sb="5" eb="7">
      <t>テマ</t>
    </rPh>
    <rPh sb="8" eb="11">
      <t>カンケイジョウ</t>
    </rPh>
    <rPh sb="17" eb="18">
      <t>ト</t>
    </rPh>
    <rPh sb="19" eb="20">
      <t>ア</t>
    </rPh>
    <rPh sb="23" eb="24">
      <t>コタ</t>
    </rPh>
    <rPh sb="29" eb="31">
      <t>バアイ</t>
    </rPh>
    <rPh sb="36" eb="37">
      <t>オモ</t>
    </rPh>
    <rPh sb="49" eb="51">
      <t>ヨウシャ</t>
    </rPh>
    <phoneticPr fontId="1"/>
  </si>
  <si>
    <t>できる限りの対応はしたいと思っています。</t>
    <rPh sb="3" eb="4">
      <t>カギ</t>
    </rPh>
    <rPh sb="6" eb="8">
      <t>タイオウ</t>
    </rPh>
    <rPh sb="13" eb="14">
      <t>オモ</t>
    </rPh>
    <phoneticPr fontId="1"/>
  </si>
  <si>
    <t>※このプログラムを使っての分析やコメントをnoteというSNSに書いていく予定です（以下がアドレス）。</t>
    <rPh sb="9" eb="10">
      <t>ツカ</t>
    </rPh>
    <rPh sb="13" eb="15">
      <t>ブンセキ</t>
    </rPh>
    <rPh sb="32" eb="33">
      <t>カ</t>
    </rPh>
    <rPh sb="37" eb="39">
      <t>ヨテイ</t>
    </rPh>
    <rPh sb="42" eb="44">
      <t>イカ</t>
    </rPh>
    <phoneticPr fontId="1"/>
  </si>
  <si>
    <t>※バグの修正や補足解説の充実も含めたバージョンアップを行う可能性があります。このあたりは「住まいと環境社」のホームページで情報を出します。</t>
    <rPh sb="4" eb="6">
      <t>シュウセイ</t>
    </rPh>
    <rPh sb="7" eb="9">
      <t>ホソク</t>
    </rPh>
    <rPh sb="9" eb="11">
      <t>カイセツ</t>
    </rPh>
    <rPh sb="12" eb="14">
      <t>ジュウジツ</t>
    </rPh>
    <rPh sb="15" eb="16">
      <t>フク</t>
    </rPh>
    <rPh sb="27" eb="28">
      <t>オコナ</t>
    </rPh>
    <rPh sb="29" eb="32">
      <t>カノウセイ</t>
    </rPh>
    <rPh sb="45" eb="46">
      <t>ス</t>
    </rPh>
    <rPh sb="61" eb="63">
      <t>ジョウホウ</t>
    </rPh>
    <rPh sb="64" eb="65">
      <t>ダ</t>
    </rPh>
    <phoneticPr fontId="1"/>
  </si>
  <si>
    <t>https://note.com/noisy_osaka/</t>
    <phoneticPr fontId="1"/>
  </si>
  <si>
    <t>2050年時点での戸数と一次エネルギー消費量（共同）</t>
    <rPh sb="4" eb="5">
      <t>ネン</t>
    </rPh>
    <rPh sb="5" eb="7">
      <t>ジテン</t>
    </rPh>
    <rPh sb="9" eb="11">
      <t>コスウ</t>
    </rPh>
    <rPh sb="11" eb="12">
      <t>コスウ</t>
    </rPh>
    <rPh sb="12" eb="14">
      <t>イチジ</t>
    </rPh>
    <rPh sb="19" eb="22">
      <t>ショウヒリョウ</t>
    </rPh>
    <rPh sb="23" eb="25">
      <t>キョウドウ</t>
    </rPh>
    <phoneticPr fontId="1"/>
  </si>
  <si>
    <t>2030年時点での戸数と一次エネルギー消費量（共同）</t>
    <rPh sb="4" eb="5">
      <t>ネン</t>
    </rPh>
    <rPh sb="5" eb="7">
      <t>ジテン</t>
    </rPh>
    <rPh sb="9" eb="11">
      <t>コスウ</t>
    </rPh>
    <rPh sb="11" eb="12">
      <t>コスウ</t>
    </rPh>
    <rPh sb="12" eb="14">
      <t>イチジ</t>
    </rPh>
    <rPh sb="19" eb="22">
      <t>ショウヒリョウ</t>
    </rPh>
    <rPh sb="23" eb="25">
      <t>キョウドウ</t>
    </rPh>
    <phoneticPr fontId="1"/>
  </si>
  <si>
    <t>2030年時点での戸数と一次エネルギー消費量（戸建て）</t>
    <rPh sb="4" eb="5">
      <t>ネン</t>
    </rPh>
    <rPh sb="5" eb="7">
      <t>ジテン</t>
    </rPh>
    <rPh sb="9" eb="11">
      <t>コスウ</t>
    </rPh>
    <rPh sb="10" eb="11">
      <t>スウ</t>
    </rPh>
    <rPh sb="12" eb="14">
      <t>イチジ</t>
    </rPh>
    <rPh sb="19" eb="22">
      <t>ショウヒリョウ</t>
    </rPh>
    <rPh sb="23" eb="25">
      <t>コダ</t>
    </rPh>
    <phoneticPr fontId="1"/>
  </si>
  <si>
    <t>2050年時点での戸数と一次エネルギー消費量（戸建て）</t>
    <rPh sb="4" eb="5">
      <t>ネン</t>
    </rPh>
    <rPh sb="5" eb="7">
      <t>ジテン</t>
    </rPh>
    <rPh sb="9" eb="11">
      <t>コスウ</t>
    </rPh>
    <rPh sb="10" eb="11">
      <t>スウ</t>
    </rPh>
    <rPh sb="12" eb="14">
      <t>イチジ</t>
    </rPh>
    <rPh sb="19" eb="22">
      <t>ショウヒリョウ</t>
    </rPh>
    <rPh sb="23" eb="25">
      <t>コダ</t>
    </rPh>
    <phoneticPr fontId="1"/>
  </si>
  <si>
    <t>更新履歴等</t>
    <rPh sb="0" eb="2">
      <t>コウシン</t>
    </rPh>
    <rPh sb="2" eb="4">
      <t>リレキ</t>
    </rPh>
    <rPh sb="4" eb="5">
      <t>トウ</t>
    </rPh>
    <phoneticPr fontId="1"/>
  </si>
  <si>
    <t>ver1を公開しました。</t>
    <rPh sb="5" eb="7">
      <t>コウカイ</t>
    </rPh>
    <phoneticPr fontId="1"/>
  </si>
  <si>
    <t>↑ブラックボックスだらけの公開資料</t>
    <rPh sb="13" eb="15">
      <t>コウカイ</t>
    </rPh>
    <rPh sb="15" eb="17">
      <t>シリョウ</t>
    </rPh>
    <phoneticPr fontId="1"/>
  </si>
  <si>
    <t>↑計算結果の省エネ量は具体的に示されている</t>
    <rPh sb="1" eb="3">
      <t>ケイサン</t>
    </rPh>
    <rPh sb="3" eb="5">
      <t>ケッカ</t>
    </rPh>
    <rPh sb="6" eb="7">
      <t>ショウ</t>
    </rPh>
    <rPh sb="9" eb="10">
      <t>リョウ</t>
    </rPh>
    <rPh sb="11" eb="14">
      <t>グタイテキ</t>
    </rPh>
    <rPh sb="15" eb="16">
      <t>シメ</t>
    </rPh>
    <phoneticPr fontId="1"/>
  </si>
  <si>
    <t>ただし次に述べるように、この場合の入力は居室間欠暖冷房としなければなりません。</t>
    <rPh sb="3" eb="4">
      <t>ツギ</t>
    </rPh>
    <rPh sb="5" eb="6">
      <t>ノ</t>
    </rPh>
    <rPh sb="14" eb="16">
      <t>バアイ</t>
    </rPh>
    <rPh sb="17" eb="19">
      <t>ニュウリョク</t>
    </rPh>
    <rPh sb="20" eb="22">
      <t>キョシツ</t>
    </rPh>
    <rPh sb="22" eb="24">
      <t>カンケツ</t>
    </rPh>
    <rPh sb="24" eb="27">
      <t>ダンレイボウ</t>
    </rPh>
    <phoneticPr fontId="1"/>
  </si>
  <si>
    <t>国交省が想定した一次エネの数値はまず間違いなく居室間欠暖冷房の場合の数値なので、もし今後全館連続暖冷房が増えていけば（たぶんそうなる）、省エネ量の計算は破綻します。</t>
    <rPh sb="0" eb="3">
      <t>コッコウショウ</t>
    </rPh>
    <rPh sb="4" eb="6">
      <t>ソウテイ</t>
    </rPh>
    <rPh sb="8" eb="10">
      <t>イチジ</t>
    </rPh>
    <rPh sb="13" eb="15">
      <t>スウチ</t>
    </rPh>
    <rPh sb="18" eb="20">
      <t>マチガ</t>
    </rPh>
    <rPh sb="23" eb="25">
      <t>キョシツ</t>
    </rPh>
    <rPh sb="25" eb="27">
      <t>カンケツ</t>
    </rPh>
    <rPh sb="27" eb="30">
      <t>ダンレイボウ</t>
    </rPh>
    <rPh sb="31" eb="33">
      <t>バアイ</t>
    </rPh>
    <rPh sb="34" eb="36">
      <t>スウチ</t>
    </rPh>
    <rPh sb="42" eb="44">
      <t>コンゴ</t>
    </rPh>
    <rPh sb="44" eb="46">
      <t>ゼンカン</t>
    </rPh>
    <rPh sb="46" eb="48">
      <t>レンゾク</t>
    </rPh>
    <rPh sb="48" eb="51">
      <t>ダンレイボウ</t>
    </rPh>
    <rPh sb="52" eb="53">
      <t>フ</t>
    </rPh>
    <rPh sb="68" eb="69">
      <t>ショウ</t>
    </rPh>
    <rPh sb="71" eb="72">
      <t>リョウ</t>
    </rPh>
    <rPh sb="73" eb="75">
      <t>ケイサン</t>
    </rPh>
    <rPh sb="76" eb="78">
      <t>ハタン</t>
    </rPh>
    <phoneticPr fontId="1"/>
  </si>
  <si>
    <t>もし給湯器の想定がわかれば、それをどのように交換すればどれくらい一次エネ消費量が減るのかがわかるはずです。</t>
    <rPh sb="2" eb="5">
      <t>キュウトウキ</t>
    </rPh>
    <rPh sb="6" eb="8">
      <t>ソウテイ</t>
    </rPh>
    <rPh sb="22" eb="24">
      <t>コウカン</t>
    </rPh>
    <rPh sb="32" eb="34">
      <t>イチジ</t>
    </rPh>
    <rPh sb="36" eb="39">
      <t>ショウヒリョウ</t>
    </rPh>
    <rPh sb="40" eb="41">
      <t>ヘ</t>
    </rPh>
    <phoneticPr fontId="1"/>
  </si>
  <si>
    <t>4．居室間欠暖冷房問題について</t>
    <rPh sb="2" eb="4">
      <t>キョシツ</t>
    </rPh>
    <rPh sb="4" eb="6">
      <t>カンケツ</t>
    </rPh>
    <rPh sb="6" eb="9">
      <t>ダンレイボウ</t>
    </rPh>
    <rPh sb="9" eb="11">
      <t>モンダイ</t>
    </rPh>
    <phoneticPr fontId="1"/>
  </si>
  <si>
    <t>この問題はかなり根本的でやっかいなので、「居室間欠暖冷房問題」として後で詳しく述べることにします。</t>
    <rPh sb="2" eb="4">
      <t>モンダイ</t>
    </rPh>
    <rPh sb="8" eb="11">
      <t>コンポンテキ</t>
    </rPh>
    <rPh sb="21" eb="23">
      <t>キョシツ</t>
    </rPh>
    <rPh sb="23" eb="25">
      <t>カンケツ</t>
    </rPh>
    <rPh sb="25" eb="28">
      <t>ダンレイボウ</t>
    </rPh>
    <rPh sb="28" eb="30">
      <t>モンダイ</t>
    </rPh>
    <rPh sb="34" eb="35">
      <t>アト</t>
    </rPh>
    <rPh sb="36" eb="37">
      <t>クワ</t>
    </rPh>
    <rPh sb="39" eb="40">
      <t>ノ</t>
    </rPh>
    <phoneticPr fontId="1"/>
  </si>
  <si>
    <t>まずはBEIの仕組みを理解する必要があります。</t>
    <rPh sb="7" eb="9">
      <t>シク</t>
    </rPh>
    <rPh sb="11" eb="13">
      <t>リカイ</t>
    </rPh>
    <rPh sb="15" eb="17">
      <t>ヒツヨウ</t>
    </rPh>
    <phoneticPr fontId="1"/>
  </si>
  <si>
    <t>つまり、建築研究所のエネルギー消費性能計算プログラム（以下「エネルギープログラム」）使って地域ごとの計算をしてBEIを求め、それを国交省の計画などに当てはめても大きな問題はないだろうということです。</t>
    <rPh sb="4" eb="6">
      <t>ケンチク</t>
    </rPh>
    <rPh sb="6" eb="9">
      <t>ケンキュウショ</t>
    </rPh>
    <rPh sb="15" eb="17">
      <t>ショウヒ</t>
    </rPh>
    <rPh sb="17" eb="19">
      <t>セイノウ</t>
    </rPh>
    <rPh sb="19" eb="21">
      <t>ケイサン</t>
    </rPh>
    <rPh sb="27" eb="29">
      <t>イカ</t>
    </rPh>
    <rPh sb="42" eb="43">
      <t>ツカ</t>
    </rPh>
    <rPh sb="45" eb="47">
      <t>チイキ</t>
    </rPh>
    <rPh sb="50" eb="52">
      <t>ケイサン</t>
    </rPh>
    <rPh sb="59" eb="60">
      <t>モト</t>
    </rPh>
    <rPh sb="65" eb="68">
      <t>コッコウショウ</t>
    </rPh>
    <rPh sb="69" eb="71">
      <t>ケイカク</t>
    </rPh>
    <rPh sb="74" eb="75">
      <t>ア</t>
    </rPh>
    <rPh sb="80" eb="81">
      <t>オオ</t>
    </rPh>
    <rPh sb="83" eb="85">
      <t>モンダイ</t>
    </rPh>
    <phoneticPr fontId="1"/>
  </si>
  <si>
    <t>ただこの算出根拠（算出条件）は、エネルギープログラムをコツコツ叩けば予想できそうです。次の自分への課題のひとつとして考えています。</t>
    <rPh sb="4" eb="6">
      <t>サンシュツ</t>
    </rPh>
    <rPh sb="6" eb="8">
      <t>コンキョ</t>
    </rPh>
    <rPh sb="9" eb="11">
      <t>サンシュツ</t>
    </rPh>
    <rPh sb="11" eb="13">
      <t>ジョウケン</t>
    </rPh>
    <rPh sb="31" eb="32">
      <t>タタ</t>
    </rPh>
    <rPh sb="34" eb="36">
      <t>ヨソウ</t>
    </rPh>
    <rPh sb="43" eb="44">
      <t>ツギ</t>
    </rPh>
    <rPh sb="45" eb="47">
      <t>ジブン</t>
    </rPh>
    <rPh sb="49" eb="51">
      <t>カダイ</t>
    </rPh>
    <rPh sb="58" eb="59">
      <t>カンガ</t>
    </rPh>
    <phoneticPr fontId="1"/>
  </si>
  <si>
    <t>言うまでもなく「BEI＝（エネルギープログラムでの）計算値/基準値」という定義なのですが、暖冷房の設定によってこの基準値が変わるようになっています。</t>
    <rPh sb="0" eb="1">
      <t>イ</t>
    </rPh>
    <rPh sb="26" eb="29">
      <t>ケイサンチ</t>
    </rPh>
    <rPh sb="30" eb="33">
      <t>キジュンチ</t>
    </rPh>
    <rPh sb="37" eb="39">
      <t>テイギ</t>
    </rPh>
    <rPh sb="45" eb="48">
      <t>ダンレイボウ</t>
    </rPh>
    <rPh sb="49" eb="51">
      <t>セッテイ</t>
    </rPh>
    <rPh sb="57" eb="60">
      <t>キジュンチ</t>
    </rPh>
    <rPh sb="61" eb="62">
      <t>カ</t>
    </rPh>
    <phoneticPr fontId="1"/>
  </si>
  <si>
    <t>↑居室間欠暖冷房の場合</t>
    <rPh sb="1" eb="3">
      <t>キョシツ</t>
    </rPh>
    <rPh sb="3" eb="5">
      <t>カンケツ</t>
    </rPh>
    <rPh sb="5" eb="8">
      <t>ダンレイボウ</t>
    </rPh>
    <rPh sb="9" eb="11">
      <t>バアイ</t>
    </rPh>
    <phoneticPr fontId="1"/>
  </si>
  <si>
    <t>↑全館空調（全館連続暖冷房）の場合</t>
    <rPh sb="1" eb="3">
      <t>ゼンカン</t>
    </rPh>
    <rPh sb="3" eb="5">
      <t>クウチョウ</t>
    </rPh>
    <rPh sb="6" eb="8">
      <t>ゼンカン</t>
    </rPh>
    <rPh sb="8" eb="10">
      <t>レンゾク</t>
    </rPh>
    <rPh sb="10" eb="13">
      <t>ダンレイボウ</t>
    </rPh>
    <rPh sb="15" eb="17">
      <t>バアイ</t>
    </rPh>
    <phoneticPr fontId="1"/>
  </si>
  <si>
    <t>BEIとしては、左は1.09、右は1.05となっていて、全館空調のほうが「エネルギー性能が少し良い」という判断になりますが、一次エネ消費量の実数は全館空調のほうがかなり大きくなります。</t>
    <rPh sb="8" eb="9">
      <t>ヒダリ</t>
    </rPh>
    <rPh sb="15" eb="16">
      <t>ミギ</t>
    </rPh>
    <rPh sb="28" eb="30">
      <t>ゼンカン</t>
    </rPh>
    <rPh sb="30" eb="32">
      <t>クウチョウ</t>
    </rPh>
    <rPh sb="42" eb="44">
      <t>セイノウ</t>
    </rPh>
    <rPh sb="45" eb="46">
      <t>スコ</t>
    </rPh>
    <rPh sb="47" eb="48">
      <t>ヨ</t>
    </rPh>
    <rPh sb="53" eb="55">
      <t>ハンダン</t>
    </rPh>
    <rPh sb="62" eb="64">
      <t>イチジ</t>
    </rPh>
    <rPh sb="66" eb="69">
      <t>ショウヒリョウ</t>
    </rPh>
    <rPh sb="70" eb="72">
      <t>ジッスウ</t>
    </rPh>
    <rPh sb="73" eb="75">
      <t>ゼンカン</t>
    </rPh>
    <rPh sb="75" eb="77">
      <t>クウチョウ</t>
    </rPh>
    <rPh sb="84" eb="85">
      <t>オオ</t>
    </rPh>
    <phoneticPr fontId="1"/>
  </si>
  <si>
    <t>なぜこんな仕組みにしているかという話はさておき、とにかくこういうことなのです。</t>
    <rPh sb="5" eb="7">
      <t>シク</t>
    </rPh>
    <rPh sb="17" eb="18">
      <t>ハナシ</t>
    </rPh>
    <phoneticPr fontId="1"/>
  </si>
  <si>
    <t>ということで、たとえばBEIは同じ1.0であっても、暖冷房の方法によって実際の一次エネ消費量は違ってくるわけです。</t>
    <rPh sb="15" eb="16">
      <t>オナ</t>
    </rPh>
    <rPh sb="26" eb="29">
      <t>ダンレイボウ</t>
    </rPh>
    <rPh sb="30" eb="32">
      <t>ホウホウ</t>
    </rPh>
    <rPh sb="36" eb="38">
      <t>ジッサイ</t>
    </rPh>
    <rPh sb="39" eb="41">
      <t>イチジ</t>
    </rPh>
    <rPh sb="43" eb="46">
      <t>ショウヒリョウ</t>
    </rPh>
    <rPh sb="47" eb="48">
      <t>チガ</t>
    </rPh>
    <phoneticPr fontId="1"/>
  </si>
  <si>
    <t>しかし国交省はそうしたことを無視して省エネ量の計算は「BEI=1.0のとき80.7GJ」として進めてしまっています。</t>
    <rPh sb="3" eb="6">
      <t>コッコウショウ</t>
    </rPh>
    <rPh sb="14" eb="16">
      <t>ムシ</t>
    </rPh>
    <rPh sb="18" eb="19">
      <t>ショウ</t>
    </rPh>
    <rPh sb="21" eb="22">
      <t>リョウ</t>
    </rPh>
    <rPh sb="23" eb="25">
      <t>ケイサン</t>
    </rPh>
    <rPh sb="47" eb="48">
      <t>スス</t>
    </rPh>
    <phoneticPr fontId="1"/>
  </si>
  <si>
    <t>今後ますます全館空調が増えてくることが予想され、実際にそうなれば居室間欠暖冷房で想定していた住宅分野全体の一次エネ消費量よりも増えることになります。これは極めて大きな問題です。</t>
    <rPh sb="0" eb="2">
      <t>コンゴ</t>
    </rPh>
    <rPh sb="6" eb="8">
      <t>ゼンカン</t>
    </rPh>
    <rPh sb="8" eb="10">
      <t>クウチョウ</t>
    </rPh>
    <rPh sb="11" eb="12">
      <t>フ</t>
    </rPh>
    <rPh sb="19" eb="21">
      <t>ヨソウ</t>
    </rPh>
    <rPh sb="24" eb="26">
      <t>ジッサイ</t>
    </rPh>
    <rPh sb="32" eb="34">
      <t>キョシツ</t>
    </rPh>
    <rPh sb="34" eb="36">
      <t>カンケツ</t>
    </rPh>
    <rPh sb="36" eb="39">
      <t>ダンレイボウ</t>
    </rPh>
    <rPh sb="40" eb="42">
      <t>ソウテイ</t>
    </rPh>
    <rPh sb="46" eb="48">
      <t>ジュウタク</t>
    </rPh>
    <rPh sb="48" eb="50">
      <t>ブンヤ</t>
    </rPh>
    <rPh sb="50" eb="52">
      <t>ゼンタイ</t>
    </rPh>
    <rPh sb="53" eb="55">
      <t>イチジ</t>
    </rPh>
    <rPh sb="57" eb="60">
      <t>ショウヒリョウ</t>
    </rPh>
    <rPh sb="63" eb="64">
      <t>フ</t>
    </rPh>
    <rPh sb="77" eb="78">
      <t>キワ</t>
    </rPh>
    <rPh sb="80" eb="81">
      <t>オオ</t>
    </rPh>
    <rPh sb="83" eb="85">
      <t>モンダイ</t>
    </rPh>
    <phoneticPr fontId="1"/>
  </si>
  <si>
    <t>ここではBEI=1.0の例で説明します。</t>
    <rPh sb="12" eb="13">
      <t>レイ</t>
    </rPh>
    <rPh sb="14" eb="16">
      <t>セツメイ</t>
    </rPh>
    <phoneticPr fontId="1"/>
  </si>
  <si>
    <t>繰り返しになりますが、この場合の一次エネ消費量は80.7GJです。なので、全館空調の想定であっても80.7GJの一次エネ消費量になっている住宅をBEI=1.0と判断しなければならないということです。</t>
    <rPh sb="0" eb="1">
      <t>ク</t>
    </rPh>
    <rPh sb="2" eb="3">
      <t>カエ</t>
    </rPh>
    <rPh sb="13" eb="15">
      <t>バアイ</t>
    </rPh>
    <rPh sb="16" eb="18">
      <t>イチジ</t>
    </rPh>
    <rPh sb="20" eb="23">
      <t>ショウヒリョウ</t>
    </rPh>
    <rPh sb="37" eb="39">
      <t>ゼンカン</t>
    </rPh>
    <rPh sb="39" eb="41">
      <t>クウチョウ</t>
    </rPh>
    <rPh sb="42" eb="44">
      <t>ソウテイ</t>
    </rPh>
    <rPh sb="56" eb="58">
      <t>イチジ</t>
    </rPh>
    <rPh sb="60" eb="63">
      <t>ショウヒリョウ</t>
    </rPh>
    <rPh sb="69" eb="71">
      <t>ジュウタク</t>
    </rPh>
    <rPh sb="80" eb="82">
      <t>ハンダン</t>
    </rPh>
    <phoneticPr fontId="1"/>
  </si>
  <si>
    <t>■6地域で建設する場合</t>
    <rPh sb="2" eb="4">
      <t>チイキ</t>
    </rPh>
    <rPh sb="5" eb="7">
      <t>ケンセツ</t>
    </rPh>
    <rPh sb="9" eb="11">
      <t>バアイ</t>
    </rPh>
    <phoneticPr fontId="1"/>
  </si>
  <si>
    <t>■6地域以外で建設する場合</t>
    <rPh sb="2" eb="4">
      <t>チイキ</t>
    </rPh>
    <rPh sb="4" eb="6">
      <t>イガイ</t>
    </rPh>
    <rPh sb="7" eb="9">
      <t>ケンセツ</t>
    </rPh>
    <rPh sb="11" eb="13">
      <t>バアイ</t>
    </rPh>
    <phoneticPr fontId="1"/>
  </si>
  <si>
    <t>まずはエネルギープログラムを使って、それぞれの地域における「居室間欠暖冷房での基準一次エネ消費量」を調べます。初期値の状態で地域だけ変更して計算すればよいので簡単です。</t>
    <rPh sb="14" eb="15">
      <t>ツカ</t>
    </rPh>
    <rPh sb="23" eb="25">
      <t>チイキ</t>
    </rPh>
    <rPh sb="30" eb="32">
      <t>キョシツ</t>
    </rPh>
    <rPh sb="32" eb="34">
      <t>カンケツ</t>
    </rPh>
    <rPh sb="34" eb="37">
      <t>ダンレイボウ</t>
    </rPh>
    <rPh sb="39" eb="41">
      <t>キジュン</t>
    </rPh>
    <rPh sb="41" eb="43">
      <t>イチジ</t>
    </rPh>
    <rPh sb="45" eb="48">
      <t>ショウヒリョウ</t>
    </rPh>
    <rPh sb="50" eb="51">
      <t>シラ</t>
    </rPh>
    <rPh sb="55" eb="57">
      <t>ショキ</t>
    </rPh>
    <rPh sb="57" eb="58">
      <t>チ</t>
    </rPh>
    <rPh sb="59" eb="61">
      <t>ジョウタイ</t>
    </rPh>
    <rPh sb="62" eb="64">
      <t>チイキ</t>
    </rPh>
    <rPh sb="66" eb="68">
      <t>ヘンコウ</t>
    </rPh>
    <rPh sb="70" eb="72">
      <t>ケイサン</t>
    </rPh>
    <rPh sb="79" eb="81">
      <t>カンタン</t>
    </rPh>
    <phoneticPr fontId="1"/>
  </si>
  <si>
    <t>↑4地域での計算例</t>
    <rPh sb="2" eb="4">
      <t>チイキ</t>
    </rPh>
    <rPh sb="6" eb="8">
      <t>ケイサン</t>
    </rPh>
    <rPh sb="8" eb="9">
      <t>レイ</t>
    </rPh>
    <phoneticPr fontId="1"/>
  </si>
  <si>
    <t>この計算例のように、4地域であればBEI=1.0の一次エネ消費量は95.6GJになっています。なので、先ほどと同じように全館空調であってもこの数値と同程度になる住宅をBEI=1.0とすればよいわけです。</t>
    <rPh sb="2" eb="5">
      <t>ケイサンレイ</t>
    </rPh>
    <rPh sb="11" eb="13">
      <t>チイキ</t>
    </rPh>
    <rPh sb="25" eb="27">
      <t>イチジ</t>
    </rPh>
    <rPh sb="29" eb="32">
      <t>ショウヒリョウ</t>
    </rPh>
    <rPh sb="51" eb="52">
      <t>サキ</t>
    </rPh>
    <rPh sb="55" eb="56">
      <t>オナ</t>
    </rPh>
    <rPh sb="60" eb="62">
      <t>ゼンカン</t>
    </rPh>
    <rPh sb="62" eb="64">
      <t>クウチョウ</t>
    </rPh>
    <rPh sb="71" eb="73">
      <t>スウチ</t>
    </rPh>
    <rPh sb="74" eb="77">
      <t>ドウテイド</t>
    </rPh>
    <rPh sb="80" eb="82">
      <t>ジュウタク</t>
    </rPh>
    <phoneticPr fontId="1"/>
  </si>
  <si>
    <t>ではこうした問題を踏まえつつ、ユーザーがやりたい目的に応じた考え方について解説します。</t>
    <rPh sb="6" eb="8">
      <t>モンダイ</t>
    </rPh>
    <rPh sb="9" eb="10">
      <t>フ</t>
    </rPh>
    <rPh sb="24" eb="26">
      <t>モクテキ</t>
    </rPh>
    <rPh sb="27" eb="28">
      <t>オウ</t>
    </rPh>
    <rPh sb="30" eb="31">
      <t>カンガ</t>
    </rPh>
    <rPh sb="32" eb="33">
      <t>カタ</t>
    </rPh>
    <rPh sb="37" eb="39">
      <t>カイセツ</t>
    </rPh>
    <phoneticPr fontId="1"/>
  </si>
  <si>
    <t>1）国交省の想定による省エネ量を評価したい場合</t>
    <rPh sb="2" eb="5">
      <t>コッコウショウ</t>
    </rPh>
    <rPh sb="6" eb="8">
      <t>ソウテイ</t>
    </rPh>
    <rPh sb="11" eb="12">
      <t>ショウ</t>
    </rPh>
    <rPh sb="14" eb="15">
      <t>リョウ</t>
    </rPh>
    <rPh sb="16" eb="18">
      <t>ヒョウカ</t>
    </rPh>
    <rPh sb="21" eb="23">
      <t>バアイ</t>
    </rPh>
    <phoneticPr fontId="1"/>
  </si>
  <si>
    <t>2）国交省の住宅想定とは離れたところで2030年までの省エネ量、2030年時点の住宅部門全体の一次エネ消費量を見たい場合</t>
    <rPh sb="2" eb="5">
      <t>コッコウショウ</t>
    </rPh>
    <rPh sb="6" eb="8">
      <t>ジュウタク</t>
    </rPh>
    <rPh sb="8" eb="10">
      <t>ソウテイ</t>
    </rPh>
    <rPh sb="12" eb="13">
      <t>ハナ</t>
    </rPh>
    <rPh sb="23" eb="24">
      <t>ネン</t>
    </rPh>
    <rPh sb="27" eb="28">
      <t>ショウ</t>
    </rPh>
    <rPh sb="30" eb="31">
      <t>リョウ</t>
    </rPh>
    <rPh sb="36" eb="37">
      <t>ネン</t>
    </rPh>
    <rPh sb="37" eb="39">
      <t>ジテン</t>
    </rPh>
    <rPh sb="40" eb="42">
      <t>ジュウタク</t>
    </rPh>
    <rPh sb="42" eb="44">
      <t>ブモン</t>
    </rPh>
    <rPh sb="44" eb="46">
      <t>ゼンタイ</t>
    </rPh>
    <rPh sb="47" eb="49">
      <t>イチジ</t>
    </rPh>
    <rPh sb="51" eb="54">
      <t>ショウヒリョウ</t>
    </rPh>
    <rPh sb="55" eb="56">
      <t>ミ</t>
    </rPh>
    <rPh sb="58" eb="60">
      <t>バアイ</t>
    </rPh>
    <phoneticPr fontId="1"/>
  </si>
  <si>
    <t>以下の考え方が理解できれば、自由に住宅の想定ができるようになります。</t>
    <rPh sb="0" eb="2">
      <t>イカ</t>
    </rPh>
    <rPh sb="3" eb="4">
      <t>カンガ</t>
    </rPh>
    <rPh sb="5" eb="6">
      <t>カタ</t>
    </rPh>
    <rPh sb="7" eb="9">
      <t>リカイ</t>
    </rPh>
    <rPh sb="14" eb="16">
      <t>ジユウ</t>
    </rPh>
    <rPh sb="17" eb="19">
      <t>ジュウタク</t>
    </rPh>
    <rPh sb="20" eb="22">
      <t>ソウテイ</t>
    </rPh>
    <phoneticPr fontId="1"/>
  </si>
  <si>
    <t>こうした要望があるだろうと考え、本プログラムでは「新たなパターン」として次のような設定ができるようになっています。</t>
    <rPh sb="4" eb="6">
      <t>ヨウボウ</t>
    </rPh>
    <rPh sb="13" eb="14">
      <t>カンガ</t>
    </rPh>
    <rPh sb="16" eb="17">
      <t>ホン</t>
    </rPh>
    <rPh sb="25" eb="26">
      <t>アラ</t>
    </rPh>
    <rPh sb="36" eb="37">
      <t>ツギ</t>
    </rPh>
    <rPh sb="41" eb="43">
      <t>セッテイ</t>
    </rPh>
    <phoneticPr fontId="1"/>
  </si>
  <si>
    <t>なお、このとき表示されている一次エネ消費量は6地域のものですが、これを気にする必要はありません。</t>
    <rPh sb="7" eb="9">
      <t>ヒョウジ</t>
    </rPh>
    <rPh sb="14" eb="16">
      <t>イチジ</t>
    </rPh>
    <rPh sb="18" eb="21">
      <t>ショウヒリョウ</t>
    </rPh>
    <rPh sb="23" eb="25">
      <t>チイキ</t>
    </rPh>
    <rPh sb="35" eb="36">
      <t>キ</t>
    </rPh>
    <rPh sb="39" eb="41">
      <t>ヒツヨウ</t>
    </rPh>
    <phoneticPr fontId="1"/>
  </si>
  <si>
    <t>ちなみに、上の表でもわかるように、全館空調にすればG3であっても「6地域のBEI=1.0程度の一次エネ消費量」になることがわかります。</t>
    <rPh sb="5" eb="6">
      <t>ウエ</t>
    </rPh>
    <rPh sb="7" eb="8">
      <t>ヒョウ</t>
    </rPh>
    <rPh sb="17" eb="19">
      <t>ゼンカン</t>
    </rPh>
    <rPh sb="19" eb="21">
      <t>クウチョウ</t>
    </rPh>
    <rPh sb="34" eb="36">
      <t>チイキ</t>
    </rPh>
    <rPh sb="44" eb="46">
      <t>テイド</t>
    </rPh>
    <rPh sb="47" eb="49">
      <t>イチジ</t>
    </rPh>
    <rPh sb="51" eb="54">
      <t>ショウヒリョウ</t>
    </rPh>
    <phoneticPr fontId="1"/>
  </si>
  <si>
    <t>3）住宅をイメージしながら2030年までの省エネ量、2030年時点の住宅部門全体の一次エネ消費量を見たい場合</t>
    <rPh sb="2" eb="4">
      <t>ジュウタク</t>
    </rPh>
    <rPh sb="17" eb="18">
      <t>ネン</t>
    </rPh>
    <rPh sb="21" eb="22">
      <t>ショウ</t>
    </rPh>
    <rPh sb="24" eb="25">
      <t>リョウ</t>
    </rPh>
    <rPh sb="30" eb="31">
      <t>ネン</t>
    </rPh>
    <rPh sb="31" eb="33">
      <t>ジテン</t>
    </rPh>
    <rPh sb="34" eb="36">
      <t>ジュウタク</t>
    </rPh>
    <rPh sb="36" eb="38">
      <t>ブモン</t>
    </rPh>
    <rPh sb="38" eb="40">
      <t>ゼンタイ</t>
    </rPh>
    <rPh sb="41" eb="43">
      <t>イチジ</t>
    </rPh>
    <rPh sb="45" eb="48">
      <t>ショウヒリョウ</t>
    </rPh>
    <rPh sb="49" eb="50">
      <t>ミ</t>
    </rPh>
    <rPh sb="52" eb="54">
      <t>バアイ</t>
    </rPh>
    <phoneticPr fontId="1"/>
  </si>
  <si>
    <t>この想定が同じであれば、先ほどと同じく地域に限らず同じ想定として計算結果が得られると考えてください。</t>
    <rPh sb="2" eb="4">
      <t>ソウテイ</t>
    </rPh>
    <rPh sb="5" eb="6">
      <t>オナ</t>
    </rPh>
    <rPh sb="12" eb="13">
      <t>サキ</t>
    </rPh>
    <rPh sb="16" eb="17">
      <t>オナ</t>
    </rPh>
    <rPh sb="19" eb="21">
      <t>チイキ</t>
    </rPh>
    <rPh sb="22" eb="23">
      <t>カギ</t>
    </rPh>
    <rPh sb="25" eb="26">
      <t>オナ</t>
    </rPh>
    <rPh sb="27" eb="29">
      <t>ソウテイ</t>
    </rPh>
    <rPh sb="32" eb="34">
      <t>ケイサン</t>
    </rPh>
    <rPh sb="34" eb="36">
      <t>ケッカ</t>
    </rPh>
    <rPh sb="37" eb="38">
      <t>エ</t>
    </rPh>
    <rPh sb="42" eb="43">
      <t>カンガ</t>
    </rPh>
    <phoneticPr fontId="1"/>
  </si>
  <si>
    <t>戸建ての計算シートの「2050年時点の一次エネ消費量計算」において次のような設定をつくっています。</t>
    <rPh sb="0" eb="2">
      <t>コダ</t>
    </rPh>
    <rPh sb="4" eb="6">
      <t>ケイサン</t>
    </rPh>
    <rPh sb="15" eb="16">
      <t>ネン</t>
    </rPh>
    <rPh sb="16" eb="18">
      <t>ジテン</t>
    </rPh>
    <rPh sb="19" eb="21">
      <t>イチジ</t>
    </rPh>
    <rPh sb="23" eb="26">
      <t>ショウヒリョウ</t>
    </rPh>
    <rPh sb="26" eb="28">
      <t>ケイサン</t>
    </rPh>
    <rPh sb="33" eb="34">
      <t>ツギ</t>
    </rPh>
    <rPh sb="38" eb="40">
      <t>セッテイ</t>
    </rPh>
    <phoneticPr fontId="1"/>
  </si>
  <si>
    <t>少し余談になりますが、本プログラムは基本的に省エネ量や一次エネ消費量を算出するものなので、たとえば断熱性能が違ってもBEIが同じであれば同じ結果になります。</t>
    <rPh sb="0" eb="1">
      <t>スコ</t>
    </rPh>
    <rPh sb="2" eb="4">
      <t>ヨダン</t>
    </rPh>
    <rPh sb="11" eb="12">
      <t>ホン</t>
    </rPh>
    <rPh sb="18" eb="21">
      <t>キホンテキ</t>
    </rPh>
    <rPh sb="22" eb="23">
      <t>ショウ</t>
    </rPh>
    <rPh sb="25" eb="26">
      <t>リョウ</t>
    </rPh>
    <rPh sb="27" eb="29">
      <t>イチジ</t>
    </rPh>
    <rPh sb="31" eb="34">
      <t>ショウヒリョウ</t>
    </rPh>
    <rPh sb="35" eb="37">
      <t>サンシュツ</t>
    </rPh>
    <rPh sb="49" eb="51">
      <t>ダンネツ</t>
    </rPh>
    <rPh sb="51" eb="53">
      <t>セイノウ</t>
    </rPh>
    <rPh sb="54" eb="55">
      <t>チガ</t>
    </rPh>
    <rPh sb="62" eb="63">
      <t>オナ</t>
    </rPh>
    <rPh sb="68" eb="69">
      <t>オナ</t>
    </rPh>
    <rPh sb="70" eb="72">
      <t>ケッカ</t>
    </rPh>
    <phoneticPr fontId="1"/>
  </si>
  <si>
    <t>しかしこれからの日本の住宅を考えるときには温熱環境の向上も極めて重要なもうひとつの課題です。</t>
    <rPh sb="8" eb="10">
      <t>ニホン</t>
    </rPh>
    <rPh sb="11" eb="13">
      <t>ジュウタク</t>
    </rPh>
    <rPh sb="14" eb="15">
      <t>カンガ</t>
    </rPh>
    <rPh sb="21" eb="23">
      <t>オンネツ</t>
    </rPh>
    <rPh sb="23" eb="25">
      <t>カンキョウ</t>
    </rPh>
    <rPh sb="26" eb="28">
      <t>コウジョウ</t>
    </rPh>
    <rPh sb="29" eb="30">
      <t>キワ</t>
    </rPh>
    <rPh sb="32" eb="34">
      <t>ジュウヨウ</t>
    </rPh>
    <rPh sb="41" eb="43">
      <t>カダイ</t>
    </rPh>
    <phoneticPr fontId="1"/>
  </si>
  <si>
    <t>この視点で、同じBEIでもどのような住宅をつくっていくべきかを考えていく必要があります。</t>
    <rPh sb="2" eb="4">
      <t>シテン</t>
    </rPh>
    <rPh sb="6" eb="7">
      <t>オナ</t>
    </rPh>
    <rPh sb="18" eb="20">
      <t>ジュウタク</t>
    </rPh>
    <rPh sb="31" eb="32">
      <t>カンガ</t>
    </rPh>
    <rPh sb="36" eb="38">
      <t>ヒツヨウ</t>
    </rPh>
    <phoneticPr fontId="1"/>
  </si>
  <si>
    <t>このあたりも私の仕事の重大なテーマなので、すでにいくつかの機会で私見を述べていますが、今後もそうした機会を増やしていく予定です。</t>
    <rPh sb="6" eb="7">
      <t>ワタシ</t>
    </rPh>
    <rPh sb="8" eb="10">
      <t>シゴト</t>
    </rPh>
    <rPh sb="11" eb="13">
      <t>ジュウダイ</t>
    </rPh>
    <rPh sb="29" eb="31">
      <t>キカイ</t>
    </rPh>
    <rPh sb="32" eb="34">
      <t>シケン</t>
    </rPh>
    <rPh sb="35" eb="36">
      <t>ノ</t>
    </rPh>
    <rPh sb="43" eb="45">
      <t>コンゴ</t>
    </rPh>
    <rPh sb="50" eb="52">
      <t>キカイ</t>
    </rPh>
    <rPh sb="53" eb="54">
      <t>フ</t>
    </rPh>
    <rPh sb="59" eb="61">
      <t>ヨテイ</t>
    </rPh>
    <phoneticPr fontId="1"/>
  </si>
  <si>
    <t>断熱レベルや暖冷房の方法などによる一次エネ消費量の一覧を以下に挙げます。</t>
    <rPh sb="0" eb="2">
      <t>ダンネツ</t>
    </rPh>
    <rPh sb="6" eb="9">
      <t>ダンレイボウ</t>
    </rPh>
    <rPh sb="10" eb="12">
      <t>ホウホウ</t>
    </rPh>
    <rPh sb="17" eb="19">
      <t>イチジ</t>
    </rPh>
    <rPh sb="21" eb="24">
      <t>ショウヒリョウ</t>
    </rPh>
    <rPh sb="25" eb="27">
      <t>イチラン</t>
    </rPh>
    <rPh sb="28" eb="30">
      <t>イカ</t>
    </rPh>
    <rPh sb="31" eb="32">
      <t>ア</t>
    </rPh>
    <phoneticPr fontId="1"/>
  </si>
  <si>
    <t>←国交省の想定では合計が100.1になっています（四捨五入の影響と思われます）</t>
    <rPh sb="1" eb="4">
      <t>コッコウショウ</t>
    </rPh>
    <rPh sb="5" eb="7">
      <t>ソウテイ</t>
    </rPh>
    <rPh sb="9" eb="11">
      <t>ゴウケイ</t>
    </rPh>
    <rPh sb="25" eb="29">
      <t>シシャゴニュウ</t>
    </rPh>
    <rPh sb="30" eb="32">
      <t>エイキョウ</t>
    </rPh>
    <rPh sb="33" eb="34">
      <t>オモ</t>
    </rPh>
    <phoneticPr fontId="1"/>
  </si>
  <si>
    <t>G1　　　UA＝0.56</t>
  </si>
  <si>
    <t>BEI=0.7</t>
    <phoneticPr fontId="1"/>
  </si>
  <si>
    <t>BEI=0.5</t>
    <phoneticPr fontId="1"/>
  </si>
  <si>
    <t>ver.2を公開しました。</t>
    <rPh sb="6" eb="8">
      <t>コウカイ</t>
    </rPh>
    <phoneticPr fontId="1"/>
  </si>
  <si>
    <t>＜修正点＞</t>
    <rPh sb="1" eb="4">
      <t>シュウセイテン</t>
    </rPh>
    <phoneticPr fontId="1"/>
  </si>
  <si>
    <t>「想定別一次エネ消費量」の表示及び計算ロジックの誤りを修正</t>
    <rPh sb="1" eb="3">
      <t>ソウテイ</t>
    </rPh>
    <rPh sb="3" eb="4">
      <t>ベツ</t>
    </rPh>
    <rPh sb="4" eb="6">
      <t>イチジ</t>
    </rPh>
    <rPh sb="8" eb="11">
      <t>ショウヒリョウ</t>
    </rPh>
    <rPh sb="13" eb="15">
      <t>ヒョウジ</t>
    </rPh>
    <rPh sb="15" eb="16">
      <t>オヨ</t>
    </rPh>
    <rPh sb="17" eb="19">
      <t>ケイサン</t>
    </rPh>
    <rPh sb="24" eb="25">
      <t>アヤマ</t>
    </rPh>
    <rPh sb="27" eb="29">
      <t>シュウセイ</t>
    </rPh>
    <phoneticPr fontId="1"/>
  </si>
  <si>
    <t>「戸建ての計算」の計算ロジックの誤り（44行目の計算）を修正</t>
    <rPh sb="1" eb="3">
      <t>コダ</t>
    </rPh>
    <rPh sb="5" eb="7">
      <t>ケイサン</t>
    </rPh>
    <rPh sb="9" eb="11">
      <t>ケイサン</t>
    </rPh>
    <rPh sb="16" eb="17">
      <t>アヤマ</t>
    </rPh>
    <rPh sb="21" eb="23">
      <t>ギョウメ</t>
    </rPh>
    <rPh sb="24" eb="26">
      <t>ケイサン</t>
    </rPh>
    <rPh sb="28" eb="30">
      <t>シュウセイ</t>
    </rPh>
    <phoneticPr fontId="1"/>
  </si>
  <si>
    <t>G1</t>
  </si>
  <si>
    <t>「共同住宅の計算」の表示の誤り（72行目）を修正</t>
    <rPh sb="1" eb="3">
      <t>キョウドウ</t>
    </rPh>
    <rPh sb="3" eb="5">
      <t>ジュウタク</t>
    </rPh>
    <rPh sb="6" eb="8">
      <t>ケイサン</t>
    </rPh>
    <rPh sb="10" eb="12">
      <t>ヒョウジ</t>
    </rPh>
    <rPh sb="13" eb="14">
      <t>アヤマ</t>
    </rPh>
    <rPh sb="18" eb="20">
      <t>ギョウメ</t>
    </rPh>
    <rPh sb="22" eb="24">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</si>
</sst>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name val="ＭＳ Ｐゴシック"/>
      <family val="3"/>
      <charset val="128"/>
    </font>
    <font>
      <b/>
      <sz val="18"/>
      <color theme="3"/>
      <name val="游ゴシック Light"/>
      <family val="3"/>
      <charset val="128"/>
      <scheme val="major"/>
    </font>
    <font>
      <b/>
      <sz val="9"/>
      <color theme="1"/>
      <name val="游ゴシック"/>
      <family val="3"/>
      <charset val="128"/>
      <scheme val="minor"/>
    </font>
    <font>
      <sz val="9"/>
      <color rgb="FFFF0000"/>
      <name val="游ゴシック"/>
      <family val="2"/>
      <charset val="128"/>
      <scheme val="minor"/>
    </font>
    <font>
      <b/>
      <sz val="9"/>
      <color rgb="FFFF0000"/>
      <name val="游ゴシック"/>
      <family val="3"/>
      <charset val="128"/>
      <scheme val="minor"/>
    </font>
    <font>
      <sz val="8"/>
      <color theme="1"/>
      <name val="游ゴシック"/>
      <family val="2"/>
      <charset val="128"/>
      <scheme val="minor"/>
    </font>
    <font>
      <sz val="9"/>
      <name val="游ゴシック"/>
      <family val="3"/>
      <charset val="128"/>
      <scheme val="minor"/>
    </font>
    <font>
      <sz val="9"/>
      <name val="游ゴシック"/>
      <family val="2"/>
      <charset val="128"/>
      <scheme val="minor"/>
    </font>
    <font>
      <b/>
      <sz val="9"/>
      <name val="游ゴシック"/>
      <family val="3"/>
      <charset val="128"/>
      <scheme val="minor"/>
    </font>
    <font>
      <sz val="9"/>
      <color rgb="FF00B0F0"/>
      <name val="游ゴシック"/>
      <family val="2"/>
      <charset val="128"/>
      <scheme val="minor"/>
    </font>
    <font>
      <sz val="9"/>
      <color rgb="FF00B0F0"/>
      <name val="游ゴシック"/>
      <family val="3"/>
      <charset val="128"/>
      <scheme val="minor"/>
    </font>
    <font>
      <b/>
      <sz val="8"/>
      <color theme="1"/>
      <name val="游ゴシック"/>
      <family val="3"/>
      <charset val="128"/>
      <scheme val="minor"/>
    </font>
    <font>
      <b/>
      <sz val="9"/>
      <color theme="4"/>
      <name val="游ゴシック"/>
      <family val="3"/>
      <charset val="128"/>
      <scheme val="minor"/>
    </font>
    <font>
      <b/>
      <u val="double"/>
      <sz val="9"/>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u/>
      <sz val="8"/>
      <color theme="10"/>
      <name val="游ゴシック"/>
      <family val="2"/>
      <charset val="128"/>
      <scheme val="minor"/>
    </font>
    <font>
      <sz val="8"/>
      <color theme="1"/>
      <name val="游ゴシック"/>
      <family val="3"/>
      <charset val="128"/>
      <scheme val="minor"/>
    </font>
    <font>
      <u/>
      <sz val="9"/>
      <color rgb="FFFF0000"/>
      <name val="游ゴシック"/>
      <family val="3"/>
      <charset val="128"/>
      <scheme val="minor"/>
    </font>
    <font>
      <b/>
      <u/>
      <sz val="9"/>
      <color rgb="FFFF0000"/>
      <name val="游ゴシック"/>
      <family val="3"/>
      <charset val="128"/>
      <scheme val="minor"/>
    </font>
    <font>
      <b/>
      <sz val="9"/>
      <color rgb="FF0070C0"/>
      <name val="游ゴシック"/>
      <family val="3"/>
      <charset val="128"/>
      <scheme val="minor"/>
    </font>
    <font>
      <sz val="11"/>
      <color theme="1"/>
      <name val="游ゴシック"/>
      <family val="3"/>
      <charset val="128"/>
      <scheme val="minor"/>
    </font>
    <font>
      <b/>
      <sz val="11"/>
      <color theme="4"/>
      <name val="游ゴシック"/>
      <family val="3"/>
      <charset val="128"/>
      <scheme val="minor"/>
    </font>
    <font>
      <b/>
      <sz val="12"/>
      <color theme="4"/>
      <name val="游ゴシック"/>
      <family val="3"/>
      <charset val="128"/>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4">
    <xf numFmtId="0" fontId="0" fillId="0" borderId="0">
      <alignment vertical="center"/>
    </xf>
    <xf numFmtId="0" fontId="4" fillId="0" borderId="0"/>
    <xf numFmtId="0" fontId="5"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171">
    <xf numFmtId="0" fontId="0" fillId="0" borderId="0" xfId="0">
      <alignment vertical="center"/>
    </xf>
    <xf numFmtId="0" fontId="2" fillId="0" borderId="0" xfId="0" applyFont="1">
      <alignment vertical="center"/>
    </xf>
    <xf numFmtId="0" fontId="3" fillId="0" borderId="0" xfId="0" applyFont="1">
      <alignment vertical="center"/>
    </xf>
    <xf numFmtId="3" fontId="2" fillId="0" borderId="0" xfId="0" applyNumberFormat="1" applyFont="1">
      <alignment vertical="center"/>
    </xf>
    <xf numFmtId="0" fontId="6" fillId="0" borderId="0" xfId="0" applyFont="1">
      <alignment vertical="center"/>
    </xf>
    <xf numFmtId="0" fontId="7" fillId="0" borderId="0" xfId="0" applyFont="1">
      <alignment vertical="center"/>
    </xf>
    <xf numFmtId="0" fontId="9" fillId="3" borderId="0" xfId="0" applyFont="1" applyFill="1">
      <alignment vertical="center"/>
    </xf>
    <xf numFmtId="0" fontId="2" fillId="0" borderId="1" xfId="0" applyFont="1" applyBorder="1">
      <alignment vertical="center"/>
    </xf>
    <xf numFmtId="0" fontId="8" fillId="0" borderId="0" xfId="0" applyFont="1">
      <alignment vertical="center"/>
    </xf>
    <xf numFmtId="0" fontId="2" fillId="4" borderId="0" xfId="0" applyFont="1" applyFill="1">
      <alignment vertical="center"/>
    </xf>
    <xf numFmtId="0" fontId="10" fillId="0" borderId="0" xfId="0" applyFont="1">
      <alignment vertical="center"/>
    </xf>
    <xf numFmtId="0" fontId="6" fillId="2" borderId="0" xfId="0" applyFont="1" applyFill="1">
      <alignment vertical="center"/>
    </xf>
    <xf numFmtId="0" fontId="11" fillId="0" borderId="0" xfId="0" applyFont="1">
      <alignment vertical="center"/>
    </xf>
    <xf numFmtId="0" fontId="12" fillId="0" borderId="0" xfId="0" applyFont="1">
      <alignment vertical="center"/>
    </xf>
    <xf numFmtId="0" fontId="2" fillId="0" borderId="0" xfId="0" applyFont="1" applyFill="1">
      <alignment vertical="center"/>
    </xf>
    <xf numFmtId="0" fontId="6" fillId="3" borderId="0" xfId="0" applyFont="1" applyFill="1">
      <alignment vertical="center"/>
    </xf>
    <xf numFmtId="0" fontId="6" fillId="5" borderId="0" xfId="0" applyFont="1" applyFill="1">
      <alignment vertical="center"/>
    </xf>
    <xf numFmtId="0" fontId="9" fillId="2" borderId="0" xfId="0" applyFont="1" applyFill="1">
      <alignment vertical="center"/>
    </xf>
    <xf numFmtId="0" fontId="9" fillId="6" borderId="0" xfId="0" applyFont="1" applyFill="1">
      <alignment vertical="center"/>
    </xf>
    <xf numFmtId="0" fontId="6" fillId="6" borderId="0" xfId="0" applyFont="1" applyFill="1">
      <alignment vertical="center"/>
    </xf>
    <xf numFmtId="0" fontId="6" fillId="7" borderId="0" xfId="0" applyFont="1" applyFill="1">
      <alignment vertical="center"/>
    </xf>
    <xf numFmtId="0" fontId="9" fillId="5" borderId="0" xfId="0" applyFont="1" applyFill="1">
      <alignment vertical="center"/>
    </xf>
    <xf numFmtId="0" fontId="9" fillId="0" borderId="0" xfId="0" applyFont="1">
      <alignment vertical="center"/>
    </xf>
    <xf numFmtId="0" fontId="10" fillId="0" borderId="0" xfId="0" applyFont="1" applyFill="1">
      <alignment vertical="center"/>
    </xf>
    <xf numFmtId="0" fontId="13" fillId="0" borderId="0" xfId="0" applyFont="1">
      <alignment vertical="center"/>
    </xf>
    <xf numFmtId="0" fontId="2" fillId="0" borderId="0" xfId="0" applyNumberFormat="1" applyFont="1">
      <alignment vertical="center"/>
    </xf>
    <xf numFmtId="0" fontId="14" fillId="0" borderId="0" xfId="0" applyFont="1">
      <alignment vertical="center"/>
    </xf>
    <xf numFmtId="0" fontId="8" fillId="8" borderId="0" xfId="0" applyFont="1" applyFill="1">
      <alignment vertical="center"/>
    </xf>
    <xf numFmtId="0" fontId="9" fillId="0" borderId="0" xfId="0" applyFont="1" applyAlignment="1">
      <alignment vertical="center" wrapText="1"/>
    </xf>
    <xf numFmtId="0" fontId="2" fillId="2" borderId="0" xfId="0" applyFont="1" applyFill="1">
      <alignment vertical="center"/>
    </xf>
    <xf numFmtId="0" fontId="2" fillId="9" borderId="0" xfId="0" applyFont="1" applyFill="1">
      <alignment vertical="center"/>
    </xf>
    <xf numFmtId="0" fontId="3" fillId="0" borderId="1" xfId="0" applyFont="1" applyBorder="1">
      <alignment vertical="center"/>
    </xf>
    <xf numFmtId="0" fontId="10" fillId="0" borderId="1" xfId="0" applyFont="1" applyBorder="1">
      <alignment vertical="center"/>
    </xf>
    <xf numFmtId="0" fontId="2" fillId="0" borderId="0" xfId="0" applyFont="1" applyBorder="1" applyAlignment="1">
      <alignment horizontal="center" vertical="center"/>
    </xf>
    <xf numFmtId="0" fontId="3" fillId="0" borderId="0" xfId="0" applyFont="1" applyBorder="1">
      <alignment vertical="center"/>
    </xf>
    <xf numFmtId="0" fontId="10" fillId="0" borderId="0"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6" fillId="0" borderId="0" xfId="0" applyFont="1" applyBorder="1" applyAlignment="1">
      <alignment horizontal="left" vertical="center"/>
    </xf>
    <xf numFmtId="0" fontId="3" fillId="0" borderId="0" xfId="0" applyFont="1" applyBorder="1" applyAlignment="1">
      <alignment horizontal="left" vertical="center"/>
    </xf>
    <xf numFmtId="0" fontId="2" fillId="0" borderId="1" xfId="0" applyFont="1" applyBorder="1" applyAlignment="1">
      <alignment horizontal="center" vertical="center"/>
    </xf>
    <xf numFmtId="0" fontId="6" fillId="0" borderId="1" xfId="0" applyFont="1" applyBorder="1">
      <alignment vertical="center"/>
    </xf>
    <xf numFmtId="0" fontId="6" fillId="10" borderId="1" xfId="0" applyFont="1" applyFill="1" applyBorder="1">
      <alignment vertical="center"/>
    </xf>
    <xf numFmtId="0" fontId="6" fillId="0" borderId="0" xfId="0" applyFont="1" applyFill="1">
      <alignment vertical="center"/>
    </xf>
    <xf numFmtId="0" fontId="6" fillId="9" borderId="1" xfId="0" applyFont="1" applyFill="1" applyBorder="1">
      <alignment vertical="center"/>
    </xf>
    <xf numFmtId="0" fontId="6" fillId="0" borderId="1" xfId="0" applyFont="1" applyBorder="1" applyAlignment="1">
      <alignment horizontal="center" vertical="center"/>
    </xf>
    <xf numFmtId="0" fontId="2" fillId="0" borderId="1" xfId="0" applyFont="1" applyBorder="1" applyAlignment="1">
      <alignment horizontal="right" vertical="center"/>
    </xf>
    <xf numFmtId="0" fontId="10" fillId="0" borderId="1" xfId="0" applyFont="1" applyFill="1" applyBorder="1">
      <alignment vertical="center"/>
    </xf>
    <xf numFmtId="0" fontId="2" fillId="0" borderId="1" xfId="0" applyFont="1" applyFill="1" applyBorder="1">
      <alignment vertical="center"/>
    </xf>
    <xf numFmtId="0" fontId="2" fillId="9" borderId="1" xfId="0" applyFont="1" applyFill="1" applyBorder="1">
      <alignment vertical="center"/>
    </xf>
    <xf numFmtId="0" fontId="6" fillId="0" borderId="0" xfId="0" applyFont="1" applyFill="1" applyAlignment="1">
      <alignment vertical="center"/>
    </xf>
    <xf numFmtId="0" fontId="16" fillId="0" borderId="0" xfId="0" applyFont="1">
      <alignment vertical="center"/>
    </xf>
    <xf numFmtId="0" fontId="2" fillId="11" borderId="1" xfId="0" applyFont="1" applyFill="1" applyBorder="1">
      <alignment vertical="center"/>
    </xf>
    <xf numFmtId="0" fontId="6" fillId="11" borderId="1" xfId="0" applyFont="1" applyFill="1" applyBorder="1">
      <alignment vertical="center"/>
    </xf>
    <xf numFmtId="0" fontId="3" fillId="0" borderId="0" xfId="0" applyFont="1" applyFill="1" applyAlignment="1">
      <alignment vertical="center"/>
    </xf>
    <xf numFmtId="0" fontId="6" fillId="6" borderId="1" xfId="0" applyFont="1" applyFill="1" applyBorder="1">
      <alignment vertical="center"/>
    </xf>
    <xf numFmtId="0" fontId="6" fillId="12" borderId="1" xfId="0" applyFont="1" applyFill="1" applyBorder="1">
      <alignment vertical="center"/>
    </xf>
    <xf numFmtId="0" fontId="8" fillId="0" borderId="0" xfId="0" applyFont="1" applyFill="1">
      <alignment vertical="center"/>
    </xf>
    <xf numFmtId="0" fontId="6" fillId="0" borderId="5" xfId="0" applyFont="1" applyBorder="1">
      <alignment vertical="center"/>
    </xf>
    <xf numFmtId="0" fontId="6" fillId="0" borderId="1" xfId="0" applyFont="1" applyBorder="1" applyAlignment="1">
      <alignment horizontal="center" vertical="center"/>
    </xf>
    <xf numFmtId="0" fontId="12" fillId="6" borderId="1" xfId="0" applyFont="1" applyFill="1" applyBorder="1">
      <alignment vertical="center"/>
    </xf>
    <xf numFmtId="0" fontId="12" fillId="9" borderId="1" xfId="0" applyFont="1" applyFill="1" applyBorder="1">
      <alignment vertical="center"/>
    </xf>
    <xf numFmtId="0" fontId="12" fillId="12" borderId="1" xfId="0" applyFont="1" applyFill="1" applyBorder="1">
      <alignment vertical="center"/>
    </xf>
    <xf numFmtId="0" fontId="2" fillId="0" borderId="0" xfId="0" applyFont="1" applyBorder="1">
      <alignment vertical="center"/>
    </xf>
    <xf numFmtId="0" fontId="17" fillId="0" borderId="0" xfId="0" applyFont="1">
      <alignment vertical="center"/>
    </xf>
    <xf numFmtId="0" fontId="6" fillId="0" borderId="0" xfId="0" applyFont="1" applyFill="1" applyAlignment="1">
      <alignment horizontal="left" vertical="center"/>
    </xf>
    <xf numFmtId="0" fontId="6" fillId="0" borderId="1" xfId="0" applyFont="1" applyFill="1" applyBorder="1">
      <alignment vertical="center"/>
    </xf>
    <xf numFmtId="0" fontId="2" fillId="11" borderId="0" xfId="0" applyFont="1" applyFill="1">
      <alignment vertical="center"/>
    </xf>
    <xf numFmtId="0" fontId="3" fillId="0" borderId="1" xfId="0" applyFont="1" applyFill="1" applyBorder="1">
      <alignment vertical="center"/>
    </xf>
    <xf numFmtId="0" fontId="12" fillId="0" borderId="1"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6" fillId="10" borderId="6" xfId="0" applyFont="1" applyFill="1" applyBorder="1" applyAlignment="1">
      <alignment vertical="center"/>
    </xf>
    <xf numFmtId="0" fontId="6" fillId="10" borderId="7" xfId="0" applyFont="1" applyFill="1" applyBorder="1" applyAlignment="1">
      <alignment vertical="center"/>
    </xf>
    <xf numFmtId="0" fontId="3" fillId="10" borderId="7" xfId="0" applyFont="1" applyFill="1" applyBorder="1">
      <alignment vertical="center"/>
    </xf>
    <xf numFmtId="0" fontId="10" fillId="10" borderId="7" xfId="0" applyFont="1" applyFill="1" applyBorder="1">
      <alignment vertical="center"/>
    </xf>
    <xf numFmtId="0" fontId="10" fillId="10" borderId="8" xfId="0" applyFont="1" applyFill="1" applyBorder="1">
      <alignment vertical="center"/>
    </xf>
    <xf numFmtId="0" fontId="6" fillId="10" borderId="7" xfId="0" applyFont="1" applyFill="1" applyBorder="1">
      <alignment vertical="center"/>
    </xf>
    <xf numFmtId="0" fontId="2" fillId="10" borderId="8" xfId="0" applyFont="1" applyFill="1" applyBorder="1">
      <alignment vertical="center"/>
    </xf>
    <xf numFmtId="0" fontId="6" fillId="13" borderId="6" xfId="0" applyFont="1" applyFill="1" applyBorder="1">
      <alignment vertical="center"/>
    </xf>
    <xf numFmtId="0" fontId="2" fillId="13" borderId="7" xfId="0" applyFont="1" applyFill="1" applyBorder="1">
      <alignment vertical="center"/>
    </xf>
    <xf numFmtId="0" fontId="2" fillId="13" borderId="8" xfId="0" applyFont="1" applyFill="1" applyBorder="1">
      <alignment vertical="center"/>
    </xf>
    <xf numFmtId="0" fontId="6" fillId="0" borderId="0" xfId="0" applyFont="1" applyFill="1" applyBorder="1" applyAlignment="1">
      <alignment horizontal="left" vertical="center"/>
    </xf>
    <xf numFmtId="0" fontId="6" fillId="0" borderId="0" xfId="0" applyFont="1" applyBorder="1" applyAlignment="1">
      <alignment horizontal="center" vertical="center"/>
    </xf>
    <xf numFmtId="0" fontId="6" fillId="0" borderId="0" xfId="0" applyFont="1" applyBorder="1">
      <alignment vertical="center"/>
    </xf>
    <xf numFmtId="0" fontId="6" fillId="14" borderId="9" xfId="0" applyFont="1" applyFill="1" applyBorder="1">
      <alignment vertical="center"/>
    </xf>
    <xf numFmtId="0" fontId="2" fillId="14" borderId="10" xfId="0" applyFont="1" applyFill="1" applyBorder="1">
      <alignment vertical="center"/>
    </xf>
    <xf numFmtId="0" fontId="2" fillId="14" borderId="11" xfId="0" applyFont="1" applyFill="1" applyBorder="1">
      <alignment vertical="center"/>
    </xf>
    <xf numFmtId="0" fontId="2" fillId="14" borderId="12" xfId="0" applyFont="1" applyFill="1" applyBorder="1">
      <alignment vertical="center"/>
    </xf>
    <xf numFmtId="0" fontId="2" fillId="14" borderId="0" xfId="0" applyFont="1" applyFill="1" applyBorder="1">
      <alignment vertical="center"/>
    </xf>
    <xf numFmtId="0" fontId="2" fillId="14" borderId="13" xfId="0" applyFont="1" applyFill="1" applyBorder="1">
      <alignment vertical="center"/>
    </xf>
    <xf numFmtId="0" fontId="2" fillId="14" borderId="14" xfId="0" applyFont="1" applyFill="1" applyBorder="1">
      <alignment vertical="center"/>
    </xf>
    <xf numFmtId="0" fontId="2" fillId="14" borderId="15" xfId="0" applyFont="1" applyFill="1" applyBorder="1">
      <alignment vertical="center"/>
    </xf>
    <xf numFmtId="0" fontId="2" fillId="14" borderId="16" xfId="0" applyFont="1" applyFill="1" applyBorder="1">
      <alignment vertical="center"/>
    </xf>
    <xf numFmtId="0" fontId="20" fillId="0" borderId="0" xfId="0" applyFont="1">
      <alignment vertical="center"/>
    </xf>
    <xf numFmtId="0" fontId="22" fillId="0" borderId="0" xfId="3" applyFont="1">
      <alignment vertical="center"/>
    </xf>
    <xf numFmtId="0" fontId="23" fillId="0" borderId="0" xfId="0" applyFont="1">
      <alignment vertical="center"/>
    </xf>
    <xf numFmtId="0" fontId="6" fillId="4" borderId="1" xfId="0" applyFont="1" applyFill="1" applyBorder="1" applyProtection="1">
      <alignment vertical="center"/>
      <protection locked="0"/>
    </xf>
    <xf numFmtId="0" fontId="15" fillId="7" borderId="1" xfId="0" applyFont="1" applyFill="1" applyBorder="1" applyProtection="1">
      <alignment vertical="center"/>
      <protection locked="0"/>
    </xf>
    <xf numFmtId="0" fontId="3" fillId="0" borderId="0" xfId="0" applyFont="1" applyFill="1" applyBorder="1">
      <alignment vertical="center"/>
    </xf>
    <xf numFmtId="0" fontId="2" fillId="0" borderId="0"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vertical="center"/>
    </xf>
    <xf numFmtId="0" fontId="8" fillId="0" borderId="0" xfId="0" applyFont="1" applyFill="1" applyBorder="1">
      <alignment vertical="center"/>
    </xf>
    <xf numFmtId="0" fontId="2" fillId="0" borderId="0" xfId="0" applyFont="1" applyFill="1" applyBorder="1" applyAlignment="1">
      <alignment vertical="center"/>
    </xf>
    <xf numFmtId="0" fontId="6" fillId="10" borderId="1" xfId="0" applyFont="1" applyFill="1" applyBorder="1" applyAlignment="1">
      <alignment horizontal="center" vertical="center"/>
    </xf>
    <xf numFmtId="0" fontId="26" fillId="0" borderId="0" xfId="0" applyFont="1">
      <alignment vertical="center"/>
    </xf>
    <xf numFmtId="0" fontId="2" fillId="16" borderId="1" xfId="0" applyFont="1" applyFill="1" applyBorder="1">
      <alignment vertical="center"/>
    </xf>
    <xf numFmtId="0" fontId="6" fillId="15" borderId="1" xfId="0" applyFont="1" applyFill="1" applyBorder="1">
      <alignment vertical="center"/>
    </xf>
    <xf numFmtId="0" fontId="6" fillId="16" borderId="1" xfId="0" applyFont="1" applyFill="1" applyBorder="1">
      <alignment vertical="center"/>
    </xf>
    <xf numFmtId="0" fontId="3" fillId="0" borderId="18" xfId="0" applyFont="1" applyBorder="1">
      <alignment vertical="center"/>
    </xf>
    <xf numFmtId="0" fontId="3" fillId="0" borderId="3" xfId="0" applyFont="1" applyBorder="1">
      <alignment vertical="center"/>
    </xf>
    <xf numFmtId="0" fontId="3" fillId="0" borderId="17" xfId="0" applyFont="1" applyBorder="1">
      <alignment vertical="center"/>
    </xf>
    <xf numFmtId="0" fontId="3" fillId="0" borderId="5" xfId="0" applyFont="1" applyBorder="1">
      <alignment vertical="center"/>
    </xf>
    <xf numFmtId="0" fontId="3" fillId="0" borderId="21" xfId="0" applyFont="1" applyBorder="1">
      <alignment vertical="center"/>
    </xf>
    <xf numFmtId="0" fontId="3" fillId="0" borderId="4" xfId="0" applyFont="1" applyBorder="1">
      <alignment vertical="center"/>
    </xf>
    <xf numFmtId="0" fontId="3" fillId="0" borderId="19" xfId="0" applyFont="1" applyBorder="1">
      <alignment vertical="center"/>
    </xf>
    <xf numFmtId="0" fontId="27" fillId="0" borderId="0" xfId="0" applyFont="1">
      <alignment vertical="center"/>
    </xf>
    <xf numFmtId="9" fontId="2" fillId="0" borderId="0" xfId="0" applyNumberFormat="1" applyFont="1">
      <alignment vertical="center"/>
    </xf>
    <xf numFmtId="0" fontId="6" fillId="0" borderId="1" xfId="0" applyFont="1" applyBorder="1" applyAlignment="1">
      <alignment horizontal="center" vertical="center"/>
    </xf>
    <xf numFmtId="0" fontId="6" fillId="0" borderId="2" xfId="0" applyFont="1" applyBorder="1">
      <alignment vertical="center"/>
    </xf>
    <xf numFmtId="0" fontId="6" fillId="0" borderId="20" xfId="0" applyFont="1" applyFill="1" applyBorder="1">
      <alignment vertical="center"/>
    </xf>
    <xf numFmtId="0" fontId="3" fillId="9" borderId="4" xfId="0" applyFont="1" applyFill="1" applyBorder="1">
      <alignment vertical="center"/>
    </xf>
    <xf numFmtId="0" fontId="6" fillId="0" borderId="0" xfId="0" applyFont="1" applyFill="1" applyBorder="1" applyProtection="1">
      <alignment vertical="center"/>
      <protection locked="0"/>
    </xf>
    <xf numFmtId="0" fontId="6" fillId="7"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6" fillId="0" borderId="1" xfId="0" applyFont="1" applyBorder="1" applyAlignment="1">
      <alignment horizontal="center" vertical="center"/>
    </xf>
    <xf numFmtId="0" fontId="6" fillId="9" borderId="0" xfId="0" applyFont="1" applyFill="1">
      <alignment vertical="center"/>
    </xf>
    <xf numFmtId="0" fontId="28" fillId="0" borderId="0" xfId="0" applyFont="1">
      <alignment vertical="center"/>
    </xf>
    <xf numFmtId="0" fontId="29" fillId="0" borderId="0" xfId="0" applyFont="1">
      <alignment vertical="center"/>
    </xf>
    <xf numFmtId="0" fontId="6" fillId="7" borderId="1" xfId="0" applyFont="1" applyFill="1" applyBorder="1" applyAlignment="1" applyProtection="1">
      <alignment horizontal="center" vertical="center"/>
      <protection locked="0"/>
    </xf>
    <xf numFmtId="55" fontId="2" fillId="0" borderId="0" xfId="0" applyNumberFormat="1" applyFont="1">
      <alignment vertical="center"/>
    </xf>
    <xf numFmtId="0" fontId="6" fillId="7" borderId="1" xfId="0" applyFont="1" applyFill="1" applyBorder="1" applyAlignment="1" applyProtection="1">
      <alignment horizontal="center" vertical="center"/>
      <protection locked="0"/>
    </xf>
    <xf numFmtId="0" fontId="6" fillId="0" borderId="0" xfId="0" applyFont="1" applyProtection="1">
      <alignment vertical="center"/>
      <protection locked="0"/>
    </xf>
    <xf numFmtId="0" fontId="6" fillId="7" borderId="0" xfId="0" applyFont="1" applyFill="1" applyAlignment="1" applyProtection="1">
      <alignment horizontal="center" vertical="center"/>
      <protection locked="0"/>
    </xf>
    <xf numFmtId="0" fontId="2" fillId="0" borderId="0" xfId="0" applyFont="1" applyProtection="1">
      <alignment vertical="center"/>
      <protection locked="0"/>
    </xf>
    <xf numFmtId="0" fontId="6" fillId="4" borderId="1"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0" xfId="0" applyFont="1" applyAlignment="1">
      <alignment horizontal="left" vertical="center"/>
    </xf>
    <xf numFmtId="0" fontId="6" fillId="10" borderId="6" xfId="0" applyFont="1" applyFill="1" applyBorder="1" applyAlignment="1">
      <alignment horizontal="left" vertical="center"/>
    </xf>
    <xf numFmtId="0" fontId="6" fillId="10" borderId="7" xfId="0" applyFont="1" applyFill="1" applyBorder="1" applyAlignment="1">
      <alignment horizontal="left" vertical="center"/>
    </xf>
    <xf numFmtId="0" fontId="6" fillId="10" borderId="8" xfId="0" applyFont="1" applyFill="1" applyBorder="1" applyAlignment="1">
      <alignment horizontal="left" vertical="center"/>
    </xf>
    <xf numFmtId="0" fontId="6" fillId="13" borderId="6" xfId="0" applyFont="1" applyFill="1" applyBorder="1" applyAlignment="1">
      <alignment horizontal="left" vertical="center"/>
    </xf>
    <xf numFmtId="0" fontId="6" fillId="13" borderId="7" xfId="0" applyFont="1" applyFill="1" applyBorder="1" applyAlignment="1">
      <alignment horizontal="left" vertical="center"/>
    </xf>
    <xf numFmtId="0" fontId="6" fillId="13" borderId="8" xfId="0" applyFont="1" applyFill="1" applyBorder="1" applyAlignment="1">
      <alignment horizontal="left" vertical="center"/>
    </xf>
    <xf numFmtId="0" fontId="6" fillId="0" borderId="1" xfId="0" applyFont="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7" borderId="1" xfId="0" applyFont="1" applyFill="1" applyBorder="1" applyAlignment="1" applyProtection="1">
      <alignment horizontal="center" vertical="center"/>
      <protection locked="0"/>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right" vertical="center"/>
    </xf>
    <xf numFmtId="0" fontId="6" fillId="0" borderId="17" xfId="0" applyFont="1" applyBorder="1" applyAlignment="1">
      <alignment horizontal="right" vertical="center"/>
    </xf>
    <xf numFmtId="0" fontId="6" fillId="0" borderId="1" xfId="0" applyFont="1" applyBorder="1" applyAlignment="1">
      <alignment horizontal="left" vertical="center"/>
    </xf>
    <xf numFmtId="0" fontId="20" fillId="0" borderId="1" xfId="0" applyFont="1" applyBorder="1" applyAlignment="1">
      <alignment horizontal="center" vertical="center"/>
    </xf>
    <xf numFmtId="0" fontId="3" fillId="0" borderId="1" xfId="0" applyFont="1" applyBorder="1" applyAlignment="1">
      <alignment horizontal="left" vertical="center"/>
    </xf>
    <xf numFmtId="0" fontId="19" fillId="0" borderId="0" xfId="0" applyFont="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applyAlignment="1">
      <alignment horizontal="center" vertical="center"/>
    </xf>
  </cellXfs>
  <cellStyles count="4">
    <cellStyle name="タイトル 2" xfId="2" xr:uid="{96CCCDD0-29BD-4EBC-9AA1-199B028819D3}"/>
    <cellStyle name="ハイパーリンク" xfId="3" builtinId="8"/>
    <cellStyle name="標準" xfId="0" builtinId="0"/>
    <cellStyle name="標準 2" xfId="1" xr:uid="{7833E851-A581-4F75-B31D-915FF18C1F28}"/>
  </cellStyles>
  <dxfs count="6">
    <dxf>
      <fill>
        <patternFill>
          <bgColor theme="1"/>
        </patternFill>
      </fill>
    </dxf>
    <dxf>
      <fill>
        <patternFill>
          <bgColor theme="1"/>
        </patternFill>
      </fill>
    </dxf>
    <dxf>
      <fill>
        <patternFill>
          <bgColor theme="1"/>
        </patternFill>
      </fill>
    </dxf>
    <dxf>
      <fill>
        <patternFill>
          <bgColor theme="1"/>
        </patternFill>
      </fill>
    </dxf>
    <dxf>
      <font>
        <color theme="1"/>
      </font>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7</xdr:col>
      <xdr:colOff>577850</xdr:colOff>
      <xdr:row>5</xdr:row>
      <xdr:rowOff>19050</xdr:rowOff>
    </xdr:from>
    <xdr:to>
      <xdr:col>11</xdr:col>
      <xdr:colOff>576388</xdr:colOff>
      <xdr:row>14</xdr:row>
      <xdr:rowOff>134949</xdr:rowOff>
    </xdr:to>
    <xdr:pic>
      <xdr:nvPicPr>
        <xdr:cNvPr id="5" name="図 4">
          <a:extLst>
            <a:ext uri="{FF2B5EF4-FFF2-40B4-BE49-F238E27FC236}">
              <a16:creationId xmlns:a16="http://schemas.microsoft.com/office/drawing/2014/main" id="{914AC1EF-131C-408E-AA37-6F1F52FEC879}"/>
            </a:ext>
          </a:extLst>
        </xdr:cNvPr>
        <xdr:cNvPicPr>
          <a:picLocks noChangeAspect="1"/>
        </xdr:cNvPicPr>
      </xdr:nvPicPr>
      <xdr:blipFill>
        <a:blip xmlns:r="http://schemas.openxmlformats.org/officeDocument/2006/relationships" r:embed="rId1"/>
        <a:stretch>
          <a:fillRect/>
        </a:stretch>
      </xdr:blipFill>
      <xdr:spPr>
        <a:xfrm>
          <a:off x="4711700" y="1009650"/>
          <a:ext cx="2640138" cy="1830399"/>
        </a:xfrm>
        <a:prstGeom prst="rect">
          <a:avLst/>
        </a:prstGeom>
        <a:ln>
          <a:solidFill>
            <a:sysClr val="windowText" lastClr="000000"/>
          </a:solidFill>
        </a:ln>
      </xdr:spPr>
    </xdr:pic>
    <xdr:clientData/>
  </xdr:twoCellAnchor>
  <xdr:twoCellAnchor editAs="oneCell">
    <xdr:from>
      <xdr:col>1</xdr:col>
      <xdr:colOff>520701</xdr:colOff>
      <xdr:row>5</xdr:row>
      <xdr:rowOff>37670</xdr:rowOff>
    </xdr:from>
    <xdr:to>
      <xdr:col>5</xdr:col>
      <xdr:colOff>553024</xdr:colOff>
      <xdr:row>14</xdr:row>
      <xdr:rowOff>146050</xdr:rowOff>
    </xdr:to>
    <xdr:pic>
      <xdr:nvPicPr>
        <xdr:cNvPr id="6" name="図 5">
          <a:extLst>
            <a:ext uri="{FF2B5EF4-FFF2-40B4-BE49-F238E27FC236}">
              <a16:creationId xmlns:a16="http://schemas.microsoft.com/office/drawing/2014/main" id="{D480F0D8-130B-4051-914A-BA0946C050C1}"/>
            </a:ext>
          </a:extLst>
        </xdr:cNvPr>
        <xdr:cNvPicPr>
          <a:picLocks noChangeAspect="1"/>
        </xdr:cNvPicPr>
      </xdr:nvPicPr>
      <xdr:blipFill>
        <a:blip xmlns:r="http://schemas.openxmlformats.org/officeDocument/2006/relationships" r:embed="rId2"/>
        <a:stretch>
          <a:fillRect/>
        </a:stretch>
      </xdr:blipFill>
      <xdr:spPr>
        <a:xfrm>
          <a:off x="692151" y="1028270"/>
          <a:ext cx="2673923" cy="1822880"/>
        </a:xfrm>
        <a:prstGeom prst="rect">
          <a:avLst/>
        </a:prstGeom>
        <a:ln>
          <a:solidFill>
            <a:sysClr val="windowText" lastClr="000000"/>
          </a:solidFill>
        </a:ln>
      </xdr:spPr>
    </xdr:pic>
    <xdr:clientData/>
  </xdr:twoCellAnchor>
  <xdr:twoCellAnchor>
    <xdr:from>
      <xdr:col>10</xdr:col>
      <xdr:colOff>412750</xdr:colOff>
      <xdr:row>7</xdr:row>
      <xdr:rowOff>139700</xdr:rowOff>
    </xdr:from>
    <xdr:to>
      <xdr:col>11</xdr:col>
      <xdr:colOff>374650</xdr:colOff>
      <xdr:row>10</xdr:row>
      <xdr:rowOff>107950</xdr:rowOff>
    </xdr:to>
    <xdr:sp macro="" textlink="">
      <xdr:nvSpPr>
        <xdr:cNvPr id="7" name="正方形/長方形 6">
          <a:extLst>
            <a:ext uri="{FF2B5EF4-FFF2-40B4-BE49-F238E27FC236}">
              <a16:creationId xmlns:a16="http://schemas.microsoft.com/office/drawing/2014/main" id="{B69E28B0-7214-4AE1-B667-83322A006C30}"/>
            </a:ext>
          </a:extLst>
        </xdr:cNvPr>
        <xdr:cNvSpPr/>
      </xdr:nvSpPr>
      <xdr:spPr>
        <a:xfrm>
          <a:off x="6527800" y="1511300"/>
          <a:ext cx="622300" cy="5397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546101</xdr:colOff>
      <xdr:row>53</xdr:row>
      <xdr:rowOff>111161</xdr:rowOff>
    </xdr:from>
    <xdr:to>
      <xdr:col>8</xdr:col>
      <xdr:colOff>527050</xdr:colOff>
      <xdr:row>64</xdr:row>
      <xdr:rowOff>135684</xdr:rowOff>
    </xdr:to>
    <xdr:pic>
      <xdr:nvPicPr>
        <xdr:cNvPr id="8" name="図 7">
          <a:extLst>
            <a:ext uri="{FF2B5EF4-FFF2-40B4-BE49-F238E27FC236}">
              <a16:creationId xmlns:a16="http://schemas.microsoft.com/office/drawing/2014/main" id="{E86D8E71-08E2-4E3A-8A5F-EC804738DAAA}"/>
            </a:ext>
          </a:extLst>
        </xdr:cNvPr>
        <xdr:cNvPicPr>
          <a:picLocks noChangeAspect="1"/>
        </xdr:cNvPicPr>
      </xdr:nvPicPr>
      <xdr:blipFill>
        <a:blip xmlns:r="http://schemas.openxmlformats.org/officeDocument/2006/relationships" r:embed="rId3"/>
        <a:stretch>
          <a:fillRect/>
        </a:stretch>
      </xdr:blipFill>
      <xdr:spPr>
        <a:xfrm>
          <a:off x="3359151" y="10360061"/>
          <a:ext cx="1962149" cy="2120023"/>
        </a:xfrm>
        <a:prstGeom prst="rect">
          <a:avLst/>
        </a:prstGeom>
      </xdr:spPr>
    </xdr:pic>
    <xdr:clientData/>
  </xdr:twoCellAnchor>
  <xdr:twoCellAnchor editAs="oneCell">
    <xdr:from>
      <xdr:col>1</xdr:col>
      <xdr:colOff>572749</xdr:colOff>
      <xdr:row>53</xdr:row>
      <xdr:rowOff>107950</xdr:rowOff>
    </xdr:from>
    <xdr:to>
      <xdr:col>4</xdr:col>
      <xdr:colOff>571500</xdr:colOff>
      <xdr:row>64</xdr:row>
      <xdr:rowOff>162436</xdr:rowOff>
    </xdr:to>
    <xdr:pic>
      <xdr:nvPicPr>
        <xdr:cNvPr id="10" name="図 9">
          <a:extLst>
            <a:ext uri="{FF2B5EF4-FFF2-40B4-BE49-F238E27FC236}">
              <a16:creationId xmlns:a16="http://schemas.microsoft.com/office/drawing/2014/main" id="{B9520062-5475-4137-BFB3-483ECD89016B}"/>
            </a:ext>
          </a:extLst>
        </xdr:cNvPr>
        <xdr:cNvPicPr>
          <a:picLocks noChangeAspect="1"/>
        </xdr:cNvPicPr>
      </xdr:nvPicPr>
      <xdr:blipFill>
        <a:blip xmlns:r="http://schemas.openxmlformats.org/officeDocument/2006/relationships" r:embed="rId4"/>
        <a:stretch>
          <a:fillRect/>
        </a:stretch>
      </xdr:blipFill>
      <xdr:spPr>
        <a:xfrm>
          <a:off x="744199" y="10356850"/>
          <a:ext cx="1979951" cy="2149986"/>
        </a:xfrm>
        <a:prstGeom prst="rect">
          <a:avLst/>
        </a:prstGeom>
      </xdr:spPr>
    </xdr:pic>
    <xdr:clientData/>
  </xdr:twoCellAnchor>
  <xdr:twoCellAnchor>
    <xdr:from>
      <xdr:col>3</xdr:col>
      <xdr:colOff>63500</xdr:colOff>
      <xdr:row>63</xdr:row>
      <xdr:rowOff>25400</xdr:rowOff>
    </xdr:from>
    <xdr:to>
      <xdr:col>4</xdr:col>
      <xdr:colOff>457200</xdr:colOff>
      <xdr:row>64</xdr:row>
      <xdr:rowOff>57150</xdr:rowOff>
    </xdr:to>
    <xdr:sp macro="" textlink="">
      <xdr:nvSpPr>
        <xdr:cNvPr id="12" name="正方形/長方形 11">
          <a:extLst>
            <a:ext uri="{FF2B5EF4-FFF2-40B4-BE49-F238E27FC236}">
              <a16:creationId xmlns:a16="http://schemas.microsoft.com/office/drawing/2014/main" id="{E07BD5AA-7682-4AFD-B579-3597744B5321}"/>
            </a:ext>
          </a:extLst>
        </xdr:cNvPr>
        <xdr:cNvSpPr/>
      </xdr:nvSpPr>
      <xdr:spPr>
        <a:xfrm>
          <a:off x="1555750" y="12179300"/>
          <a:ext cx="1054100" cy="2222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63</xdr:row>
      <xdr:rowOff>12700</xdr:rowOff>
    </xdr:from>
    <xdr:to>
      <xdr:col>8</xdr:col>
      <xdr:colOff>393700</xdr:colOff>
      <xdr:row>64</xdr:row>
      <xdr:rowOff>44450</xdr:rowOff>
    </xdr:to>
    <xdr:sp macro="" textlink="">
      <xdr:nvSpPr>
        <xdr:cNvPr id="16" name="正方形/長方形 15">
          <a:extLst>
            <a:ext uri="{FF2B5EF4-FFF2-40B4-BE49-F238E27FC236}">
              <a16:creationId xmlns:a16="http://schemas.microsoft.com/office/drawing/2014/main" id="{C9E6BDEE-34C8-476E-A33F-5633B5919B0F}"/>
            </a:ext>
          </a:extLst>
        </xdr:cNvPr>
        <xdr:cNvSpPr/>
      </xdr:nvSpPr>
      <xdr:spPr>
        <a:xfrm>
          <a:off x="4133850" y="12166600"/>
          <a:ext cx="1054100" cy="2222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527051</xdr:colOff>
      <xdr:row>80</xdr:row>
      <xdr:rowOff>82550</xdr:rowOff>
    </xdr:from>
    <xdr:to>
      <xdr:col>4</xdr:col>
      <xdr:colOff>541671</xdr:colOff>
      <xdr:row>91</xdr:row>
      <xdr:rowOff>152399</xdr:rowOff>
    </xdr:to>
    <xdr:pic>
      <xdr:nvPicPr>
        <xdr:cNvPr id="19" name="図 18">
          <a:extLst>
            <a:ext uri="{FF2B5EF4-FFF2-40B4-BE49-F238E27FC236}">
              <a16:creationId xmlns:a16="http://schemas.microsoft.com/office/drawing/2014/main" id="{9D4F922D-45B7-48DE-9054-5770B7A6B5B5}"/>
            </a:ext>
          </a:extLst>
        </xdr:cNvPr>
        <xdr:cNvPicPr>
          <a:picLocks noChangeAspect="1"/>
        </xdr:cNvPicPr>
      </xdr:nvPicPr>
      <xdr:blipFill>
        <a:blip xmlns:r="http://schemas.openxmlformats.org/officeDocument/2006/relationships" r:embed="rId5"/>
        <a:stretch>
          <a:fillRect/>
        </a:stretch>
      </xdr:blipFill>
      <xdr:spPr>
        <a:xfrm>
          <a:off x="698501" y="15093950"/>
          <a:ext cx="1995820" cy="2165349"/>
        </a:xfrm>
        <a:prstGeom prst="rect">
          <a:avLst/>
        </a:prstGeom>
      </xdr:spPr>
    </xdr:pic>
    <xdr:clientData/>
  </xdr:twoCellAnchor>
  <xdr:twoCellAnchor editAs="oneCell">
    <xdr:from>
      <xdr:col>1</xdr:col>
      <xdr:colOff>501650</xdr:colOff>
      <xdr:row>97</xdr:row>
      <xdr:rowOff>50801</xdr:rowOff>
    </xdr:from>
    <xdr:to>
      <xdr:col>7</xdr:col>
      <xdr:colOff>482600</xdr:colOff>
      <xdr:row>104</xdr:row>
      <xdr:rowOff>121183</xdr:rowOff>
    </xdr:to>
    <xdr:pic>
      <xdr:nvPicPr>
        <xdr:cNvPr id="21" name="図 20">
          <a:extLst>
            <a:ext uri="{FF2B5EF4-FFF2-40B4-BE49-F238E27FC236}">
              <a16:creationId xmlns:a16="http://schemas.microsoft.com/office/drawing/2014/main" id="{32A0F5FB-CB11-4485-9D3D-90BC2F6E5C65}"/>
            </a:ext>
          </a:extLst>
        </xdr:cNvPr>
        <xdr:cNvPicPr>
          <a:picLocks noChangeAspect="1"/>
        </xdr:cNvPicPr>
      </xdr:nvPicPr>
      <xdr:blipFill>
        <a:blip xmlns:r="http://schemas.openxmlformats.org/officeDocument/2006/relationships" r:embed="rId6"/>
        <a:stretch>
          <a:fillRect/>
        </a:stretch>
      </xdr:blipFill>
      <xdr:spPr>
        <a:xfrm>
          <a:off x="673100" y="18681701"/>
          <a:ext cx="3943350" cy="1403882"/>
        </a:xfrm>
        <a:prstGeom prst="rect">
          <a:avLst/>
        </a:prstGeom>
      </xdr:spPr>
    </xdr:pic>
    <xdr:clientData/>
  </xdr:twoCellAnchor>
  <xdr:twoCellAnchor editAs="oneCell">
    <xdr:from>
      <xdr:col>1</xdr:col>
      <xdr:colOff>438149</xdr:colOff>
      <xdr:row>110</xdr:row>
      <xdr:rowOff>62826</xdr:rowOff>
    </xdr:from>
    <xdr:to>
      <xdr:col>9</xdr:col>
      <xdr:colOff>546942</xdr:colOff>
      <xdr:row>120</xdr:row>
      <xdr:rowOff>69849</xdr:rowOff>
    </xdr:to>
    <xdr:pic>
      <xdr:nvPicPr>
        <xdr:cNvPr id="23" name="図 22">
          <a:extLst>
            <a:ext uri="{FF2B5EF4-FFF2-40B4-BE49-F238E27FC236}">
              <a16:creationId xmlns:a16="http://schemas.microsoft.com/office/drawing/2014/main" id="{13D6C4AD-0CD0-4EF2-8519-A13AFA39F9C1}"/>
            </a:ext>
          </a:extLst>
        </xdr:cNvPr>
        <xdr:cNvPicPr>
          <a:picLocks noChangeAspect="1"/>
        </xdr:cNvPicPr>
      </xdr:nvPicPr>
      <xdr:blipFill>
        <a:blip xmlns:r="http://schemas.openxmlformats.org/officeDocument/2006/relationships" r:embed="rId7"/>
        <a:stretch>
          <a:fillRect/>
        </a:stretch>
      </xdr:blipFill>
      <xdr:spPr>
        <a:xfrm>
          <a:off x="609599" y="21170226"/>
          <a:ext cx="5391993" cy="1912023"/>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273956</xdr:colOff>
      <xdr:row>2</xdr:row>
      <xdr:rowOff>0</xdr:rowOff>
    </xdr:from>
    <xdr:to>
      <xdr:col>12</xdr:col>
      <xdr:colOff>184149</xdr:colOff>
      <xdr:row>15</xdr:row>
      <xdr:rowOff>168835</xdr:rowOff>
    </xdr:to>
    <xdr:pic>
      <xdr:nvPicPr>
        <xdr:cNvPr id="2" name="図 1">
          <a:extLst>
            <a:ext uri="{FF2B5EF4-FFF2-40B4-BE49-F238E27FC236}">
              <a16:creationId xmlns:a16="http://schemas.microsoft.com/office/drawing/2014/main" id="{363B8148-2316-4FA8-9B75-162B3691B121}"/>
            </a:ext>
          </a:extLst>
        </xdr:cNvPr>
        <xdr:cNvPicPr>
          <a:picLocks noChangeAspect="1"/>
        </xdr:cNvPicPr>
      </xdr:nvPicPr>
      <xdr:blipFill>
        <a:blip xmlns:r="http://schemas.openxmlformats.org/officeDocument/2006/relationships" r:embed="rId1"/>
        <a:stretch>
          <a:fillRect/>
        </a:stretch>
      </xdr:blipFill>
      <xdr:spPr>
        <a:xfrm>
          <a:off x="4896756" y="381000"/>
          <a:ext cx="3212193" cy="2645335"/>
        </a:xfrm>
        <a:prstGeom prst="rect">
          <a:avLst/>
        </a:prstGeom>
      </xdr:spPr>
    </xdr:pic>
    <xdr:clientData/>
  </xdr:twoCellAnchor>
  <xdr:twoCellAnchor editAs="oneCell">
    <xdr:from>
      <xdr:col>12</xdr:col>
      <xdr:colOff>584200</xdr:colOff>
      <xdr:row>2</xdr:row>
      <xdr:rowOff>130422</xdr:rowOff>
    </xdr:from>
    <xdr:to>
      <xdr:col>16</xdr:col>
      <xdr:colOff>361124</xdr:colOff>
      <xdr:row>15</xdr:row>
      <xdr:rowOff>34112</xdr:rowOff>
    </xdr:to>
    <xdr:pic>
      <xdr:nvPicPr>
        <xdr:cNvPr id="3" name="図 2">
          <a:extLst>
            <a:ext uri="{FF2B5EF4-FFF2-40B4-BE49-F238E27FC236}">
              <a16:creationId xmlns:a16="http://schemas.microsoft.com/office/drawing/2014/main" id="{8DE41BC4-6C70-4EAB-8C5D-3A6322907F3F}"/>
            </a:ext>
          </a:extLst>
        </xdr:cNvPr>
        <xdr:cNvPicPr>
          <a:picLocks noChangeAspect="1"/>
        </xdr:cNvPicPr>
      </xdr:nvPicPr>
      <xdr:blipFill>
        <a:blip xmlns:r="http://schemas.openxmlformats.org/officeDocument/2006/relationships" r:embed="rId2"/>
        <a:stretch>
          <a:fillRect/>
        </a:stretch>
      </xdr:blipFill>
      <xdr:spPr>
        <a:xfrm>
          <a:off x="8509000" y="511422"/>
          <a:ext cx="2418524" cy="2380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44</xdr:row>
      <xdr:rowOff>62078</xdr:rowOff>
    </xdr:from>
    <xdr:to>
      <xdr:col>8</xdr:col>
      <xdr:colOff>535500</xdr:colOff>
      <xdr:row>49</xdr:row>
      <xdr:rowOff>152147</xdr:rowOff>
    </xdr:to>
    <xdr:pic>
      <xdr:nvPicPr>
        <xdr:cNvPr id="11" name="図 10">
          <a:extLst>
            <a:ext uri="{FF2B5EF4-FFF2-40B4-BE49-F238E27FC236}">
              <a16:creationId xmlns:a16="http://schemas.microsoft.com/office/drawing/2014/main" id="{B2AE2D91-D77C-4370-8817-1BEF1A41DC38}"/>
            </a:ext>
          </a:extLst>
        </xdr:cNvPr>
        <xdr:cNvPicPr>
          <a:picLocks noChangeAspect="1"/>
        </xdr:cNvPicPr>
      </xdr:nvPicPr>
      <xdr:blipFill>
        <a:blip xmlns:r="http://schemas.openxmlformats.org/officeDocument/2006/relationships" r:embed="rId1"/>
        <a:stretch>
          <a:fillRect/>
        </a:stretch>
      </xdr:blipFill>
      <xdr:spPr>
        <a:xfrm>
          <a:off x="717550" y="5396078"/>
          <a:ext cx="4440750" cy="1042569"/>
        </a:xfrm>
        <a:prstGeom prst="rect">
          <a:avLst/>
        </a:prstGeom>
      </xdr:spPr>
    </xdr:pic>
    <xdr:clientData/>
  </xdr:twoCellAnchor>
  <xdr:twoCellAnchor editAs="oneCell">
    <xdr:from>
      <xdr:col>2</xdr:col>
      <xdr:colOff>82550</xdr:colOff>
      <xdr:row>49</xdr:row>
      <xdr:rowOff>146041</xdr:rowOff>
    </xdr:from>
    <xdr:to>
      <xdr:col>8</xdr:col>
      <xdr:colOff>450850</xdr:colOff>
      <xdr:row>55</xdr:row>
      <xdr:rowOff>181496</xdr:rowOff>
    </xdr:to>
    <xdr:pic>
      <xdr:nvPicPr>
        <xdr:cNvPr id="12" name="図 11">
          <a:extLst>
            <a:ext uri="{FF2B5EF4-FFF2-40B4-BE49-F238E27FC236}">
              <a16:creationId xmlns:a16="http://schemas.microsoft.com/office/drawing/2014/main" id="{7D8EA7F0-4682-4F25-A395-5A2B19996D9B}"/>
            </a:ext>
          </a:extLst>
        </xdr:cNvPr>
        <xdr:cNvPicPr>
          <a:picLocks noChangeAspect="1"/>
        </xdr:cNvPicPr>
      </xdr:nvPicPr>
      <xdr:blipFill>
        <a:blip xmlns:r="http://schemas.openxmlformats.org/officeDocument/2006/relationships" r:embed="rId2"/>
        <a:stretch>
          <a:fillRect/>
        </a:stretch>
      </xdr:blipFill>
      <xdr:spPr>
        <a:xfrm>
          <a:off x="742950" y="6432541"/>
          <a:ext cx="4330700" cy="11784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312220</xdr:colOff>
      <xdr:row>9</xdr:row>
      <xdr:rowOff>12700</xdr:rowOff>
    </xdr:from>
    <xdr:to>
      <xdr:col>12</xdr:col>
      <xdr:colOff>640523</xdr:colOff>
      <xdr:row>27</xdr:row>
      <xdr:rowOff>119845</xdr:rowOff>
    </xdr:to>
    <xdr:pic>
      <xdr:nvPicPr>
        <xdr:cNvPr id="2" name="図 1">
          <a:extLst>
            <a:ext uri="{FF2B5EF4-FFF2-40B4-BE49-F238E27FC236}">
              <a16:creationId xmlns:a16="http://schemas.microsoft.com/office/drawing/2014/main" id="{059AA702-3AC1-4A2D-88C3-CBED6B9D6CA9}"/>
            </a:ext>
          </a:extLst>
        </xdr:cNvPr>
        <xdr:cNvPicPr>
          <a:picLocks noChangeAspect="1"/>
        </xdr:cNvPicPr>
      </xdr:nvPicPr>
      <xdr:blipFill>
        <a:blip xmlns:r="http://schemas.openxmlformats.org/officeDocument/2006/relationships" r:embed="rId1"/>
        <a:stretch>
          <a:fillRect/>
        </a:stretch>
      </xdr:blipFill>
      <xdr:spPr>
        <a:xfrm>
          <a:off x="4935020" y="1727200"/>
          <a:ext cx="3630303" cy="3536145"/>
        </a:xfrm>
        <a:prstGeom prst="rect">
          <a:avLst/>
        </a:prstGeom>
      </xdr:spPr>
    </xdr:pic>
    <xdr:clientData/>
  </xdr:twoCellAnchor>
  <xdr:twoCellAnchor editAs="oneCell">
    <xdr:from>
      <xdr:col>13</xdr:col>
      <xdr:colOff>88899</xdr:colOff>
      <xdr:row>8</xdr:row>
      <xdr:rowOff>179370</xdr:rowOff>
    </xdr:from>
    <xdr:to>
      <xdr:col>18</xdr:col>
      <xdr:colOff>527096</xdr:colOff>
      <xdr:row>28</xdr:row>
      <xdr:rowOff>12699</xdr:rowOff>
    </xdr:to>
    <xdr:pic>
      <xdr:nvPicPr>
        <xdr:cNvPr id="3" name="図 2">
          <a:extLst>
            <a:ext uri="{FF2B5EF4-FFF2-40B4-BE49-F238E27FC236}">
              <a16:creationId xmlns:a16="http://schemas.microsoft.com/office/drawing/2014/main" id="{20644820-0C0E-4614-84AA-4562CCF956E0}"/>
            </a:ext>
          </a:extLst>
        </xdr:cNvPr>
        <xdr:cNvPicPr>
          <a:picLocks noChangeAspect="1"/>
        </xdr:cNvPicPr>
      </xdr:nvPicPr>
      <xdr:blipFill>
        <a:blip xmlns:r="http://schemas.openxmlformats.org/officeDocument/2006/relationships" r:embed="rId2"/>
        <a:stretch>
          <a:fillRect/>
        </a:stretch>
      </xdr:blipFill>
      <xdr:spPr>
        <a:xfrm>
          <a:off x="8674099" y="1703370"/>
          <a:ext cx="3740197" cy="36433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noisy@rouge.plala.or.jp" TargetMode="External"/><Relationship Id="rId2" Type="http://schemas.openxmlformats.org/officeDocument/2006/relationships/hyperlink" Target="https://www.mlit.go.jp/jutakukentiku/house/content/001415902.pdf" TargetMode="External"/><Relationship Id="rId1" Type="http://schemas.openxmlformats.org/officeDocument/2006/relationships/hyperlink" Target="https://www.mlit.go.jp/jutakukentiku/house/content/001415901.pdf" TargetMode="External"/><Relationship Id="rId5" Type="http://schemas.openxmlformats.org/officeDocument/2006/relationships/printerSettings" Target="../printerSettings/printerSettings1.bin"/><Relationship Id="rId4" Type="http://schemas.openxmlformats.org/officeDocument/2006/relationships/hyperlink" Target="https://note.com/noisy_osak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02B89-6B86-416B-9FE3-DD7CF0E820AF}">
  <dimension ref="A1:B53"/>
  <sheetViews>
    <sheetView tabSelected="1" topLeftCell="A43" workbookViewId="0">
      <selection activeCell="H50" sqref="H50"/>
    </sheetView>
  </sheetViews>
  <sheetFormatPr defaultRowHeight="15" x14ac:dyDescent="0.55000000000000004"/>
  <cols>
    <col min="1" max="1" width="9.1640625" style="1" bestFit="1" customWidth="1"/>
    <col min="2" max="16384" width="8.6640625" style="1"/>
  </cols>
  <sheetData>
    <row r="1" spans="1:2" ht="20" x14ac:dyDescent="0.55000000000000004">
      <c r="A1" s="129" t="s">
        <v>786</v>
      </c>
    </row>
    <row r="2" spans="1:2" s="2" customFormat="1" x14ac:dyDescent="0.55000000000000004">
      <c r="A2" s="4"/>
    </row>
    <row r="3" spans="1:2" x14ac:dyDescent="0.55000000000000004">
      <c r="A3" s="1" t="s">
        <v>787</v>
      </c>
    </row>
    <row r="4" spans="1:2" s="22" customFormat="1" ht="13" x14ac:dyDescent="0.55000000000000004">
      <c r="B4" s="95" t="s">
        <v>428</v>
      </c>
    </row>
    <row r="5" spans="1:2" s="22" customFormat="1" ht="13" x14ac:dyDescent="0.55000000000000004">
      <c r="B5" s="95" t="s">
        <v>429</v>
      </c>
    </row>
    <row r="7" spans="1:2" x14ac:dyDescent="0.55000000000000004">
      <c r="A7" s="1" t="s">
        <v>430</v>
      </c>
    </row>
    <row r="8" spans="1:2" x14ac:dyDescent="0.55000000000000004">
      <c r="A8" s="1" t="s">
        <v>431</v>
      </c>
    </row>
    <row r="10" spans="1:2" x14ac:dyDescent="0.55000000000000004">
      <c r="A10" s="1" t="s">
        <v>432</v>
      </c>
    </row>
    <row r="12" spans="1:2" x14ac:dyDescent="0.55000000000000004">
      <c r="A12" s="1" t="s">
        <v>788</v>
      </c>
    </row>
    <row r="14" spans="1:2" x14ac:dyDescent="0.55000000000000004">
      <c r="A14" s="1" t="s">
        <v>794</v>
      </c>
    </row>
    <row r="15" spans="1:2" x14ac:dyDescent="0.55000000000000004">
      <c r="A15" s="4" t="s">
        <v>526</v>
      </c>
    </row>
    <row r="16" spans="1:2" x14ac:dyDescent="0.55000000000000004">
      <c r="A16" s="4" t="s">
        <v>527</v>
      </c>
    </row>
    <row r="17" spans="1:1" x14ac:dyDescent="0.55000000000000004">
      <c r="A17" s="4" t="s">
        <v>574</v>
      </c>
    </row>
    <row r="18" spans="1:1" x14ac:dyDescent="0.55000000000000004">
      <c r="A18" s="4" t="s">
        <v>582</v>
      </c>
    </row>
    <row r="19" spans="1:1" x14ac:dyDescent="0.55000000000000004">
      <c r="A19" s="4" t="s">
        <v>797</v>
      </c>
    </row>
    <row r="20" spans="1:1" x14ac:dyDescent="0.55000000000000004">
      <c r="A20" s="4" t="s">
        <v>798</v>
      </c>
    </row>
    <row r="21" spans="1:1" x14ac:dyDescent="0.55000000000000004">
      <c r="A21" s="4" t="s">
        <v>795</v>
      </c>
    </row>
    <row r="22" spans="1:1" x14ac:dyDescent="0.55000000000000004">
      <c r="A22" s="4" t="s">
        <v>796</v>
      </c>
    </row>
    <row r="23" spans="1:1" x14ac:dyDescent="0.55000000000000004">
      <c r="A23" s="4" t="s">
        <v>689</v>
      </c>
    </row>
    <row r="24" spans="1:1" x14ac:dyDescent="0.55000000000000004">
      <c r="A24" s="4" t="s">
        <v>701</v>
      </c>
    </row>
    <row r="25" spans="1:1" x14ac:dyDescent="0.55000000000000004">
      <c r="A25" s="4" t="s">
        <v>799</v>
      </c>
    </row>
    <row r="27" spans="1:1" ht="20" x14ac:dyDescent="0.55000000000000004">
      <c r="A27" s="129" t="s">
        <v>435</v>
      </c>
    </row>
    <row r="28" spans="1:1" ht="20" x14ac:dyDescent="0.55000000000000004">
      <c r="A28" s="71"/>
    </row>
    <row r="29" spans="1:1" x14ac:dyDescent="0.55000000000000004">
      <c r="A29" s="1" t="s">
        <v>436</v>
      </c>
    </row>
    <row r="30" spans="1:1" x14ac:dyDescent="0.55000000000000004">
      <c r="A30" s="1" t="s">
        <v>437</v>
      </c>
    </row>
    <row r="31" spans="1:1" x14ac:dyDescent="0.55000000000000004">
      <c r="A31" s="1" t="s">
        <v>439</v>
      </c>
    </row>
    <row r="32" spans="1:1" x14ac:dyDescent="0.55000000000000004">
      <c r="A32" s="1" t="s">
        <v>800</v>
      </c>
    </row>
    <row r="34" spans="1:1" x14ac:dyDescent="0.55000000000000004">
      <c r="A34" s="1" t="s">
        <v>438</v>
      </c>
    </row>
    <row r="35" spans="1:1" x14ac:dyDescent="0.55000000000000004">
      <c r="A35" s="1" t="s">
        <v>801</v>
      </c>
    </row>
    <row r="37" spans="1:1" x14ac:dyDescent="0.55000000000000004">
      <c r="A37" s="1" t="s">
        <v>433</v>
      </c>
    </row>
    <row r="38" spans="1:1" s="96" customFormat="1" ht="13" x14ac:dyDescent="0.55000000000000004">
      <c r="A38" s="95" t="s">
        <v>434</v>
      </c>
    </row>
    <row r="40" spans="1:1" x14ac:dyDescent="0.55000000000000004">
      <c r="A40" s="1" t="s">
        <v>845</v>
      </c>
    </row>
    <row r="41" spans="1:1" x14ac:dyDescent="0.55000000000000004">
      <c r="A41" s="1" t="s">
        <v>844</v>
      </c>
    </row>
    <row r="42" spans="1:1" s="96" customFormat="1" ht="13" x14ac:dyDescent="0.55000000000000004">
      <c r="A42" s="95" t="s">
        <v>846</v>
      </c>
    </row>
    <row r="45" spans="1:1" ht="20" x14ac:dyDescent="0.55000000000000004">
      <c r="A45" s="129" t="s">
        <v>851</v>
      </c>
    </row>
    <row r="46" spans="1:1" x14ac:dyDescent="0.55000000000000004">
      <c r="A46" s="131">
        <v>44501</v>
      </c>
    </row>
    <row r="47" spans="1:1" x14ac:dyDescent="0.55000000000000004">
      <c r="A47" s="1" t="s">
        <v>852</v>
      </c>
    </row>
    <row r="48" spans="1:1" x14ac:dyDescent="0.55000000000000004">
      <c r="A48" s="131">
        <v>44562</v>
      </c>
    </row>
    <row r="49" spans="1:1" x14ac:dyDescent="0.55000000000000004">
      <c r="A49" s="1" t="s">
        <v>897</v>
      </c>
    </row>
    <row r="50" spans="1:1" x14ac:dyDescent="0.55000000000000004">
      <c r="A50" s="1" t="s">
        <v>898</v>
      </c>
    </row>
    <row r="51" spans="1:1" x14ac:dyDescent="0.55000000000000004">
      <c r="A51" s="1" t="s">
        <v>899</v>
      </c>
    </row>
    <row r="52" spans="1:1" x14ac:dyDescent="0.55000000000000004">
      <c r="A52" s="1" t="s">
        <v>900</v>
      </c>
    </row>
    <row r="53" spans="1:1" x14ac:dyDescent="0.55000000000000004">
      <c r="A53" s="1" t="s">
        <v>902</v>
      </c>
    </row>
  </sheetData>
  <phoneticPr fontId="1"/>
  <hyperlinks>
    <hyperlink ref="B4" r:id="rId1" xr:uid="{6BE71BD3-6768-4780-884E-1C900C4F3E3C}"/>
    <hyperlink ref="B5" r:id="rId2" xr:uid="{5E88ADBA-CE67-4BCB-838D-C535C20A526F}"/>
    <hyperlink ref="A38" r:id="rId3" xr:uid="{BDF2B33A-AB85-40FA-AE52-88B4CD525DBD}"/>
    <hyperlink ref="A42" r:id="rId4" xr:uid="{481BCF39-689F-4BB5-B93E-5F72E202186A}"/>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56B8-58BD-473D-9902-17478400BB30}">
  <dimension ref="A2:Q120"/>
  <sheetViews>
    <sheetView topLeftCell="A103" workbookViewId="0">
      <selection activeCell="E108" sqref="E108:O108"/>
    </sheetView>
  </sheetViews>
  <sheetFormatPr defaultRowHeight="15" x14ac:dyDescent="0.55000000000000004"/>
  <cols>
    <col min="1" max="16384" width="8.6640625" style="1"/>
  </cols>
  <sheetData>
    <row r="2" spans="1:5" x14ac:dyDescent="0.55000000000000004">
      <c r="A2" s="4" t="s">
        <v>463</v>
      </c>
    </row>
    <row r="3" spans="1:5" x14ac:dyDescent="0.55000000000000004">
      <c r="D3" s="1" t="s">
        <v>184</v>
      </c>
    </row>
    <row r="4" spans="1:5" x14ac:dyDescent="0.55000000000000004">
      <c r="B4" s="1" t="s">
        <v>478</v>
      </c>
      <c r="D4" s="1">
        <v>3630</v>
      </c>
      <c r="E4" s="1" t="s">
        <v>243</v>
      </c>
    </row>
    <row r="5" spans="1:5" x14ac:dyDescent="0.55000000000000004">
      <c r="B5" s="1" t="s">
        <v>475</v>
      </c>
      <c r="D5" s="1">
        <v>-10.9</v>
      </c>
      <c r="E5" s="1" t="s">
        <v>199</v>
      </c>
    </row>
    <row r="6" spans="1:5" x14ac:dyDescent="0.55000000000000004">
      <c r="B6" s="1" t="s">
        <v>479</v>
      </c>
      <c r="D6" s="1">
        <f>D4*(1+D5/100)</f>
        <v>3234.33</v>
      </c>
      <c r="E6" s="1" t="s">
        <v>243</v>
      </c>
    </row>
    <row r="7" spans="1:5" x14ac:dyDescent="0.55000000000000004">
      <c r="B7" s="1" t="s">
        <v>480</v>
      </c>
      <c r="D7" s="1">
        <v>1028.5714285714287</v>
      </c>
      <c r="E7" s="1" t="s">
        <v>243</v>
      </c>
    </row>
    <row r="8" spans="1:5" x14ac:dyDescent="0.55000000000000004">
      <c r="B8" s="1" t="s">
        <v>475</v>
      </c>
      <c r="D8" s="1">
        <v>-11.1</v>
      </c>
      <c r="E8" s="1" t="s">
        <v>199</v>
      </c>
    </row>
    <row r="9" spans="1:5" x14ac:dyDescent="0.55000000000000004">
      <c r="B9" s="1" t="s">
        <v>479</v>
      </c>
      <c r="D9" s="1">
        <f>D7*(1+D8/100)</f>
        <v>914.40000000000009</v>
      </c>
      <c r="E9" s="1" t="s">
        <v>243</v>
      </c>
    </row>
    <row r="10" spans="1:5" x14ac:dyDescent="0.55000000000000004">
      <c r="B10" s="1" t="s">
        <v>481</v>
      </c>
      <c r="D10" s="1">
        <f>D9*9.76/3.6</f>
        <v>2479.04</v>
      </c>
      <c r="E10" s="1" t="s">
        <v>243</v>
      </c>
    </row>
    <row r="11" spans="1:5" x14ac:dyDescent="0.55000000000000004">
      <c r="B11" s="1" t="s">
        <v>482</v>
      </c>
      <c r="D11" s="1">
        <f>D6-D9</f>
        <v>2319.9299999999998</v>
      </c>
      <c r="E11" s="1" t="s">
        <v>243</v>
      </c>
    </row>
    <row r="12" spans="1:5" x14ac:dyDescent="0.55000000000000004">
      <c r="B12" s="1" t="s">
        <v>483</v>
      </c>
      <c r="D12" s="1">
        <f>D10+D11</f>
        <v>4798.9699999999993</v>
      </c>
      <c r="E12" s="1" t="s">
        <v>243</v>
      </c>
    </row>
    <row r="14" spans="1:5" x14ac:dyDescent="0.55000000000000004">
      <c r="B14" s="1" t="s">
        <v>490</v>
      </c>
      <c r="D14" s="1">
        <f>(P70+P109)/100</f>
        <v>4647.3851690880456</v>
      </c>
      <c r="E14" s="1" t="s">
        <v>243</v>
      </c>
    </row>
    <row r="15" spans="1:5" x14ac:dyDescent="0.55000000000000004">
      <c r="C15" s="1" t="s">
        <v>261</v>
      </c>
      <c r="D15" s="1">
        <f>D12/D14</f>
        <v>1.0326172299899341</v>
      </c>
      <c r="E15" s="8" t="s">
        <v>491</v>
      </c>
    </row>
    <row r="16" spans="1:5" x14ac:dyDescent="0.55000000000000004">
      <c r="B16" s="1" t="s">
        <v>499</v>
      </c>
      <c r="D16" s="1">
        <f>(P109+P118)/100</f>
        <v>4655.6260270442399</v>
      </c>
      <c r="E16" s="8"/>
    </row>
    <row r="17" spans="1:6" x14ac:dyDescent="0.55000000000000004">
      <c r="C17" s="1" t="s">
        <v>500</v>
      </c>
      <c r="D17" s="1">
        <f>D12/D16</f>
        <v>1.0307894087976748</v>
      </c>
      <c r="E17" s="8" t="s">
        <v>491</v>
      </c>
    </row>
    <row r="18" spans="1:6" x14ac:dyDescent="0.55000000000000004">
      <c r="A18" s="4" t="s">
        <v>22</v>
      </c>
    </row>
    <row r="19" spans="1:6" x14ac:dyDescent="0.55000000000000004">
      <c r="B19" s="1" t="s">
        <v>464</v>
      </c>
    </row>
    <row r="20" spans="1:6" x14ac:dyDescent="0.55000000000000004">
      <c r="D20" s="1" t="s">
        <v>22</v>
      </c>
    </row>
    <row r="21" spans="1:6" x14ac:dyDescent="0.55000000000000004">
      <c r="C21" s="1">
        <v>2014</v>
      </c>
      <c r="D21" s="1">
        <v>40.9</v>
      </c>
    </row>
    <row r="22" spans="1:6" x14ac:dyDescent="0.55000000000000004">
      <c r="C22" s="1">
        <v>2015</v>
      </c>
      <c r="D22" s="1">
        <v>41.8</v>
      </c>
    </row>
    <row r="23" spans="1:6" x14ac:dyDescent="0.55000000000000004">
      <c r="C23" s="1">
        <v>2016</v>
      </c>
      <c r="D23" s="1">
        <v>43.3</v>
      </c>
    </row>
    <row r="24" spans="1:6" x14ac:dyDescent="0.55000000000000004">
      <c r="C24" s="1">
        <v>2017</v>
      </c>
      <c r="D24" s="1">
        <v>42.6</v>
      </c>
    </row>
    <row r="25" spans="1:6" x14ac:dyDescent="0.55000000000000004">
      <c r="C25" s="1">
        <v>2018</v>
      </c>
      <c r="D25" s="1">
        <v>43.8</v>
      </c>
    </row>
    <row r="26" spans="1:6" x14ac:dyDescent="0.55000000000000004">
      <c r="C26" s="1">
        <v>2019</v>
      </c>
      <c r="D26" s="1">
        <v>43.4</v>
      </c>
    </row>
    <row r="27" spans="1:6" x14ac:dyDescent="0.55000000000000004">
      <c r="C27" s="1">
        <v>2020</v>
      </c>
      <c r="D27" s="1">
        <v>39.700000000000003</v>
      </c>
    </row>
    <row r="28" spans="1:6" x14ac:dyDescent="0.55000000000000004">
      <c r="C28" s="1">
        <v>2021</v>
      </c>
      <c r="D28" s="1">
        <v>41.9</v>
      </c>
    </row>
    <row r="29" spans="1:6" x14ac:dyDescent="0.55000000000000004">
      <c r="D29" s="1">
        <f>SUM(D21:D28)</f>
        <v>337.4</v>
      </c>
    </row>
    <row r="30" spans="1:6" x14ac:dyDescent="0.55000000000000004">
      <c r="B30" s="1" t="s">
        <v>73</v>
      </c>
    </row>
    <row r="31" spans="1:6" x14ac:dyDescent="0.55000000000000004">
      <c r="C31" s="1" t="s">
        <v>504</v>
      </c>
    </row>
    <row r="32" spans="1:6" x14ac:dyDescent="0.55000000000000004">
      <c r="C32" s="1" t="s">
        <v>44</v>
      </c>
      <c r="F32" s="1">
        <v>3049</v>
      </c>
    </row>
    <row r="33" spans="2:10" x14ac:dyDescent="0.55000000000000004">
      <c r="C33" s="1" t="s">
        <v>46</v>
      </c>
      <c r="F33" s="1">
        <v>2792</v>
      </c>
    </row>
    <row r="34" spans="2:10" x14ac:dyDescent="0.55000000000000004">
      <c r="D34" s="1" t="s">
        <v>42</v>
      </c>
      <c r="F34" s="1">
        <f>F32-F33</f>
        <v>257</v>
      </c>
    </row>
    <row r="35" spans="2:10" x14ac:dyDescent="0.55000000000000004">
      <c r="D35" s="1" t="s">
        <v>467</v>
      </c>
      <c r="F35" s="1">
        <f>F34/17</f>
        <v>15.117647058823529</v>
      </c>
    </row>
    <row r="36" spans="2:10" x14ac:dyDescent="0.55000000000000004">
      <c r="C36" s="1" t="s">
        <v>468</v>
      </c>
      <c r="F36" s="1">
        <f>F35*8</f>
        <v>120.94117647058823</v>
      </c>
      <c r="H36" s="1" t="s">
        <v>477</v>
      </c>
      <c r="J36" s="1">
        <f>F35*9</f>
        <v>136.05882352941177</v>
      </c>
    </row>
    <row r="37" spans="2:10" x14ac:dyDescent="0.55000000000000004">
      <c r="C37" s="1" t="s">
        <v>505</v>
      </c>
    </row>
    <row r="38" spans="2:10" x14ac:dyDescent="0.55000000000000004">
      <c r="C38" s="1" t="s">
        <v>44</v>
      </c>
      <c r="F38" s="1">
        <v>2162</v>
      </c>
    </row>
    <row r="39" spans="2:10" x14ac:dyDescent="0.55000000000000004">
      <c r="C39" s="1" t="s">
        <v>46</v>
      </c>
      <c r="F39" s="1">
        <v>2530</v>
      </c>
    </row>
    <row r="40" spans="2:10" x14ac:dyDescent="0.55000000000000004">
      <c r="D40" s="1" t="s">
        <v>506</v>
      </c>
      <c r="F40" s="1">
        <f>F39-F38</f>
        <v>368</v>
      </c>
      <c r="J40" s="1" t="s">
        <v>508</v>
      </c>
    </row>
    <row r="41" spans="2:10" x14ac:dyDescent="0.55000000000000004">
      <c r="C41" s="1" t="s">
        <v>507</v>
      </c>
      <c r="F41" s="1">
        <f>F40/17</f>
        <v>21.647058823529413</v>
      </c>
      <c r="H41" s="1" t="s">
        <v>477</v>
      </c>
      <c r="J41" s="1">
        <f>F41*9</f>
        <v>194.82352941176472</v>
      </c>
    </row>
    <row r="42" spans="2:10" x14ac:dyDescent="0.55000000000000004">
      <c r="C42" s="1" t="s">
        <v>509</v>
      </c>
      <c r="F42" s="1">
        <v>388.91836660957034</v>
      </c>
    </row>
    <row r="43" spans="2:10" x14ac:dyDescent="0.55000000000000004">
      <c r="C43" s="1" t="s">
        <v>510</v>
      </c>
      <c r="F43" s="1">
        <f>F42-J41</f>
        <v>194.09483719780562</v>
      </c>
    </row>
    <row r="45" spans="2:10" x14ac:dyDescent="0.55000000000000004">
      <c r="B45" s="1" t="s">
        <v>469</v>
      </c>
    </row>
    <row r="46" spans="2:10" x14ac:dyDescent="0.55000000000000004">
      <c r="E46" s="1" t="s">
        <v>41</v>
      </c>
      <c r="F46" s="1" t="s">
        <v>27</v>
      </c>
      <c r="G46" s="1" t="s">
        <v>28</v>
      </c>
      <c r="H46" s="1" t="s">
        <v>29</v>
      </c>
      <c r="I46" s="1" t="s">
        <v>30</v>
      </c>
    </row>
    <row r="47" spans="2:10" x14ac:dyDescent="0.55000000000000004">
      <c r="E47" s="1">
        <v>1387</v>
      </c>
      <c r="F47" s="1">
        <v>1025</v>
      </c>
      <c r="G47" s="1">
        <v>478</v>
      </c>
      <c r="H47" s="1">
        <v>86</v>
      </c>
      <c r="I47" s="1">
        <v>56</v>
      </c>
    </row>
    <row r="48" spans="2:10" x14ac:dyDescent="0.55000000000000004">
      <c r="C48" s="1" t="s">
        <v>72</v>
      </c>
      <c r="E48" s="1">
        <v>1336.8117647058823</v>
      </c>
      <c r="F48" s="1">
        <v>1025</v>
      </c>
      <c r="G48" s="1">
        <v>492.05270588235294</v>
      </c>
      <c r="H48" s="1">
        <v>86</v>
      </c>
      <c r="I48" s="1">
        <v>92.135529411764708</v>
      </c>
    </row>
    <row r="49" spans="2:16" x14ac:dyDescent="0.55000000000000004">
      <c r="D49" s="1" t="s">
        <v>42</v>
      </c>
      <c r="E49" s="1">
        <f>E47-E48</f>
        <v>50.188235294117703</v>
      </c>
      <c r="F49" s="1">
        <f t="shared" ref="F49:I49" si="0">F47-F48</f>
        <v>0</v>
      </c>
      <c r="G49" s="1">
        <f t="shared" si="0"/>
        <v>-14.052705882352939</v>
      </c>
      <c r="H49" s="1">
        <f t="shared" si="0"/>
        <v>0</v>
      </c>
      <c r="I49" s="1">
        <f t="shared" si="0"/>
        <v>-36.135529411764708</v>
      </c>
    </row>
    <row r="51" spans="2:16" x14ac:dyDescent="0.55000000000000004">
      <c r="B51" s="1" t="s">
        <v>44</v>
      </c>
    </row>
    <row r="52" spans="2:16" x14ac:dyDescent="0.55000000000000004">
      <c r="E52" s="1" t="s">
        <v>41</v>
      </c>
      <c r="F52" s="1" t="s">
        <v>27</v>
      </c>
      <c r="G52" s="1" t="s">
        <v>28</v>
      </c>
      <c r="H52" s="1" t="s">
        <v>29</v>
      </c>
      <c r="I52" s="1" t="s">
        <v>30</v>
      </c>
      <c r="J52" s="1" t="s">
        <v>39</v>
      </c>
      <c r="K52" s="1" t="s">
        <v>31</v>
      </c>
      <c r="L52" s="1" t="s">
        <v>32</v>
      </c>
      <c r="M52" s="1" t="s">
        <v>33</v>
      </c>
      <c r="N52" s="1" t="s">
        <v>43</v>
      </c>
      <c r="O52" s="1" t="s">
        <v>34</v>
      </c>
    </row>
    <row r="53" spans="2:16" x14ac:dyDescent="0.55000000000000004">
      <c r="E53" s="1">
        <v>134.4</v>
      </c>
      <c r="F53" s="1">
        <v>93.1</v>
      </c>
      <c r="G53" s="1">
        <v>90</v>
      </c>
      <c r="H53" s="1">
        <v>80.7</v>
      </c>
      <c r="I53" s="1">
        <v>80.7</v>
      </c>
      <c r="J53" s="1">
        <v>74.8</v>
      </c>
      <c r="K53" s="1">
        <v>71.8</v>
      </c>
      <c r="L53" s="1">
        <v>68.8</v>
      </c>
      <c r="M53" s="1">
        <v>65.8</v>
      </c>
      <c r="N53" s="1">
        <v>0</v>
      </c>
      <c r="O53" s="1">
        <v>59.9</v>
      </c>
    </row>
    <row r="54" spans="2:16" x14ac:dyDescent="0.55000000000000004">
      <c r="E54" s="1">
        <v>1387</v>
      </c>
      <c r="F54" s="1">
        <v>1025</v>
      </c>
      <c r="G54" s="1">
        <v>478</v>
      </c>
      <c r="H54" s="1">
        <v>86</v>
      </c>
      <c r="I54" s="1">
        <v>56</v>
      </c>
      <c r="J54" s="1">
        <v>7</v>
      </c>
      <c r="K54" s="1">
        <v>10</v>
      </c>
      <c r="L54" s="1">
        <v>0</v>
      </c>
      <c r="M54" s="1">
        <v>0</v>
      </c>
      <c r="N54" s="1">
        <v>0</v>
      </c>
      <c r="O54" s="1">
        <v>0</v>
      </c>
      <c r="P54" s="1">
        <f>SUM(E54:O54)</f>
        <v>3049</v>
      </c>
    </row>
    <row r="55" spans="2:16" x14ac:dyDescent="0.55000000000000004">
      <c r="C55" s="1" t="s">
        <v>465</v>
      </c>
      <c r="E55" s="1">
        <v>303.88457271624804</v>
      </c>
    </row>
    <row r="56" spans="2:16" x14ac:dyDescent="0.55000000000000004">
      <c r="C56" s="1" t="s">
        <v>466</v>
      </c>
      <c r="E56" s="1">
        <f>F36</f>
        <v>120.94117647058823</v>
      </c>
    </row>
    <row r="57" spans="2:16" x14ac:dyDescent="0.55000000000000004">
      <c r="C57" s="1" t="s">
        <v>469</v>
      </c>
      <c r="E57" s="1">
        <f>E49</f>
        <v>50.188235294117703</v>
      </c>
      <c r="F57" s="1">
        <f t="shared" ref="F57:O57" si="1">F49</f>
        <v>0</v>
      </c>
      <c r="G57" s="1">
        <f t="shared" si="1"/>
        <v>-14.052705882352939</v>
      </c>
      <c r="H57" s="1">
        <f t="shared" si="1"/>
        <v>0</v>
      </c>
      <c r="I57" s="1">
        <f t="shared" si="1"/>
        <v>-36.135529411764708</v>
      </c>
      <c r="J57" s="1">
        <f t="shared" si="1"/>
        <v>0</v>
      </c>
      <c r="K57" s="1">
        <f t="shared" si="1"/>
        <v>0</v>
      </c>
      <c r="L57" s="1">
        <f t="shared" si="1"/>
        <v>0</v>
      </c>
      <c r="M57" s="1">
        <f t="shared" si="1"/>
        <v>0</v>
      </c>
      <c r="N57" s="1">
        <f t="shared" si="1"/>
        <v>0</v>
      </c>
      <c r="O57" s="1">
        <f t="shared" si="1"/>
        <v>0</v>
      </c>
    </row>
    <row r="58" spans="2:16" x14ac:dyDescent="0.55000000000000004">
      <c r="C58" s="1" t="s">
        <v>72</v>
      </c>
      <c r="E58" s="1">
        <f>E54-E55-E56-E57</f>
        <v>911.98601551904608</v>
      </c>
      <c r="F58" s="1">
        <f t="shared" ref="F58:I58" si="2">F54-F55-F56-F57</f>
        <v>1025</v>
      </c>
      <c r="G58" s="1">
        <f t="shared" si="2"/>
        <v>492.05270588235294</v>
      </c>
      <c r="H58" s="1">
        <f t="shared" si="2"/>
        <v>86</v>
      </c>
      <c r="I58" s="1">
        <f t="shared" si="2"/>
        <v>92.135529411764708</v>
      </c>
      <c r="J58" s="1">
        <f t="shared" ref="J58" si="3">J54-J55-J56-J57</f>
        <v>7</v>
      </c>
      <c r="K58" s="1">
        <f t="shared" ref="K58" si="4">K54-K55-K56-K57</f>
        <v>10</v>
      </c>
      <c r="L58" s="1">
        <f t="shared" ref="L58" si="5">L54-L55-L56-L57</f>
        <v>0</v>
      </c>
      <c r="M58" s="1">
        <f t="shared" ref="M58" si="6">M54-M55-M56-M57</f>
        <v>0</v>
      </c>
      <c r="N58" s="1">
        <f t="shared" ref="N58" si="7">N54-N55-N56-N57</f>
        <v>0</v>
      </c>
      <c r="O58" s="1">
        <f t="shared" ref="O58" si="8">O54-O55-O56-O57</f>
        <v>0</v>
      </c>
      <c r="P58" s="1">
        <f>SUM(E58:O58)</f>
        <v>2624.1742508131638</v>
      </c>
    </row>
    <row r="59" spans="2:16" x14ac:dyDescent="0.55000000000000004">
      <c r="C59" s="1" t="s">
        <v>470</v>
      </c>
    </row>
    <row r="60" spans="2:16" x14ac:dyDescent="0.55000000000000004">
      <c r="E60" s="1">
        <v>32</v>
      </c>
      <c r="F60" s="1">
        <v>36</v>
      </c>
      <c r="G60" s="1">
        <v>22</v>
      </c>
      <c r="I60" s="1">
        <v>10</v>
      </c>
    </row>
    <row r="61" spans="2:16" x14ac:dyDescent="0.55000000000000004">
      <c r="C61" s="1" t="s">
        <v>471</v>
      </c>
      <c r="E61" s="1">
        <f>E58</f>
        <v>911.98601551904608</v>
      </c>
      <c r="F61" s="1">
        <f t="shared" ref="F61:O61" si="9">F58</f>
        <v>1025</v>
      </c>
      <c r="G61" s="1">
        <f t="shared" si="9"/>
        <v>492.05270588235294</v>
      </c>
      <c r="H61" s="1">
        <f t="shared" si="9"/>
        <v>86</v>
      </c>
      <c r="I61" s="1">
        <f t="shared" si="9"/>
        <v>92.135529411764708</v>
      </c>
      <c r="J61" s="1">
        <f t="shared" si="9"/>
        <v>7</v>
      </c>
      <c r="K61" s="1">
        <f t="shared" si="9"/>
        <v>10</v>
      </c>
      <c r="L61" s="1">
        <f t="shared" si="9"/>
        <v>0</v>
      </c>
      <c r="M61" s="1">
        <f t="shared" si="9"/>
        <v>0</v>
      </c>
      <c r="N61" s="1">
        <f t="shared" si="9"/>
        <v>0</v>
      </c>
      <c r="O61" s="1">
        <f t="shared" si="9"/>
        <v>0</v>
      </c>
    </row>
    <row r="62" spans="2:16" x14ac:dyDescent="0.55000000000000004">
      <c r="I62" s="1">
        <f>E55</f>
        <v>303.88457271624804</v>
      </c>
    </row>
    <row r="63" spans="2:16" x14ac:dyDescent="0.55000000000000004">
      <c r="E63" s="1">
        <f>E61+E62</f>
        <v>911.98601551904608</v>
      </c>
      <c r="F63" s="1">
        <f t="shared" ref="F63:O63" si="10">F61+F62</f>
        <v>1025</v>
      </c>
      <c r="G63" s="1">
        <f t="shared" si="10"/>
        <v>492.05270588235294</v>
      </c>
      <c r="H63" s="1">
        <f t="shared" si="10"/>
        <v>86</v>
      </c>
      <c r="I63" s="1">
        <f t="shared" si="10"/>
        <v>396.02010212801275</v>
      </c>
      <c r="J63" s="1">
        <f t="shared" si="10"/>
        <v>7</v>
      </c>
      <c r="K63" s="1">
        <f t="shared" si="10"/>
        <v>10</v>
      </c>
      <c r="L63" s="1">
        <f t="shared" si="10"/>
        <v>0</v>
      </c>
      <c r="M63" s="1">
        <f t="shared" si="10"/>
        <v>0</v>
      </c>
      <c r="N63" s="1">
        <f t="shared" si="10"/>
        <v>0</v>
      </c>
      <c r="O63" s="1">
        <f t="shared" si="10"/>
        <v>0</v>
      </c>
      <c r="P63" s="1">
        <f>SUM(E63:O63)</f>
        <v>2928.0588235294117</v>
      </c>
    </row>
    <row r="64" spans="2:16" x14ac:dyDescent="0.55000000000000004">
      <c r="E64" s="5">
        <f>E63/$P$63</f>
        <v>0.31146437639519825</v>
      </c>
      <c r="F64" s="5">
        <f t="shared" ref="F64:O64" si="11">F63/$P$63</f>
        <v>0.35006127327882358</v>
      </c>
      <c r="G64" s="5">
        <f t="shared" si="11"/>
        <v>0.1680474114550897</v>
      </c>
      <c r="H64" s="5">
        <f t="shared" si="11"/>
        <v>2.9370994636076904E-2</v>
      </c>
      <c r="I64" s="5">
        <f t="shared" si="11"/>
        <v>0.13525004994628476</v>
      </c>
      <c r="J64" s="5">
        <f t="shared" si="11"/>
        <v>2.3906623540992829E-3</v>
      </c>
      <c r="K64" s="5">
        <f t="shared" si="11"/>
        <v>3.415231934427547E-3</v>
      </c>
      <c r="L64" s="5">
        <f t="shared" si="11"/>
        <v>0</v>
      </c>
      <c r="M64" s="5">
        <f t="shared" si="11"/>
        <v>0</v>
      </c>
      <c r="N64" s="5">
        <f t="shared" si="11"/>
        <v>0</v>
      </c>
      <c r="O64" s="5">
        <f t="shared" si="11"/>
        <v>0</v>
      </c>
    </row>
    <row r="65" spans="1:17" x14ac:dyDescent="0.55000000000000004">
      <c r="D65" s="1" t="s">
        <v>184</v>
      </c>
      <c r="E65" s="1">
        <f>E$53*E63</f>
        <v>122570.92048575979</v>
      </c>
      <c r="F65" s="1">
        <f t="shared" ref="F65:O65" si="12">F$53*F63</f>
        <v>95427.5</v>
      </c>
      <c r="G65" s="1">
        <f t="shared" si="12"/>
        <v>44284.743529411768</v>
      </c>
      <c r="H65" s="1">
        <f t="shared" si="12"/>
        <v>6940.2</v>
      </c>
      <c r="I65" s="1">
        <f t="shared" si="12"/>
        <v>31958.822241730632</v>
      </c>
      <c r="J65" s="1">
        <f t="shared" si="12"/>
        <v>523.6</v>
      </c>
      <c r="K65" s="1">
        <f t="shared" si="12"/>
        <v>718</v>
      </c>
      <c r="L65" s="1">
        <f t="shared" si="12"/>
        <v>0</v>
      </c>
      <c r="M65" s="1">
        <f t="shared" si="12"/>
        <v>0</v>
      </c>
      <c r="N65" s="1">
        <f t="shared" si="12"/>
        <v>0</v>
      </c>
      <c r="O65" s="1">
        <f t="shared" si="12"/>
        <v>0</v>
      </c>
      <c r="P65" s="1">
        <f>SUM(E65:O65)</f>
        <v>302423.78625690221</v>
      </c>
      <c r="Q65" s="1">
        <f>P65*1.075</f>
        <v>325105.57022616989</v>
      </c>
    </row>
    <row r="66" spans="1:17" x14ac:dyDescent="0.55000000000000004">
      <c r="C66" s="1" t="s">
        <v>472</v>
      </c>
      <c r="E66" s="1">
        <v>878.47058823529392</v>
      </c>
      <c r="F66" s="1">
        <v>1025</v>
      </c>
      <c r="G66" s="1">
        <v>492.05270588235294</v>
      </c>
      <c r="H66" s="1">
        <v>86</v>
      </c>
      <c r="I66" s="1">
        <v>92.135529411764708</v>
      </c>
      <c r="J66" s="1">
        <v>7</v>
      </c>
      <c r="K66" s="1">
        <v>10</v>
      </c>
      <c r="L66" s="1">
        <v>0</v>
      </c>
      <c r="M66" s="1">
        <v>0</v>
      </c>
      <c r="N66" s="1">
        <v>0</v>
      </c>
      <c r="O66" s="1">
        <v>0</v>
      </c>
    </row>
    <row r="67" spans="1:17" x14ac:dyDescent="0.55000000000000004">
      <c r="F67" s="1">
        <v>6</v>
      </c>
      <c r="G67" s="1">
        <f>E55/2</f>
        <v>151.94228635812402</v>
      </c>
      <c r="I67" s="1">
        <f>G67-F67</f>
        <v>145.94228635812402</v>
      </c>
    </row>
    <row r="68" spans="1:17" x14ac:dyDescent="0.55000000000000004">
      <c r="E68" s="4">
        <f>E66+E67</f>
        <v>878.47058823529392</v>
      </c>
      <c r="F68" s="4">
        <f t="shared" ref="F68" si="13">F66+F67</f>
        <v>1031</v>
      </c>
      <c r="G68" s="4">
        <f t="shared" ref="G68" si="14">G66+G67</f>
        <v>643.9949922404769</v>
      </c>
      <c r="H68" s="4">
        <f t="shared" ref="H68" si="15">H66+H67</f>
        <v>86</v>
      </c>
      <c r="I68" s="4">
        <f t="shared" ref="I68" si="16">I66+I67</f>
        <v>238.07781576988873</v>
      </c>
      <c r="J68" s="4">
        <f t="shared" ref="J68" si="17">J66+J67</f>
        <v>7</v>
      </c>
      <c r="K68" s="4">
        <f t="shared" ref="K68" si="18">K66+K67</f>
        <v>10</v>
      </c>
      <c r="L68" s="4">
        <f t="shared" ref="L68" si="19">L66+L67</f>
        <v>0</v>
      </c>
      <c r="M68" s="4">
        <f t="shared" ref="M68" si="20">M66+M67</f>
        <v>0</v>
      </c>
      <c r="N68" s="4">
        <f t="shared" ref="N68" si="21">N66+N67</f>
        <v>0</v>
      </c>
      <c r="O68" s="4">
        <f t="shared" ref="O68" si="22">O66+O67</f>
        <v>0</v>
      </c>
    </row>
    <row r="69" spans="1:17" x14ac:dyDescent="0.55000000000000004">
      <c r="E69" s="5">
        <f>E68/$P$63</f>
        <v>0.3000180806396528</v>
      </c>
      <c r="F69" s="5">
        <f t="shared" ref="F69" si="23">F68/$P$63</f>
        <v>0.3521104124394801</v>
      </c>
      <c r="G69" s="5">
        <f t="shared" ref="G69" si="24">G68/$P$63</f>
        <v>0.21993922631110971</v>
      </c>
      <c r="H69" s="5">
        <f t="shared" ref="H69" si="25">H68/$P$63</f>
        <v>2.9370994636076904E-2</v>
      </c>
      <c r="I69" s="5">
        <f t="shared" ref="I69" si="26">I68/$P$63</f>
        <v>8.1309095929608222E-2</v>
      </c>
      <c r="J69" s="5">
        <f t="shared" ref="J69" si="27">J68/$P$63</f>
        <v>2.3906623540992829E-3</v>
      </c>
      <c r="K69" s="5">
        <f t="shared" ref="K69" si="28">K68/$P$63</f>
        <v>3.415231934427547E-3</v>
      </c>
      <c r="L69" s="5">
        <f t="shared" ref="L69" si="29">L68/$P$63</f>
        <v>0</v>
      </c>
      <c r="M69" s="5">
        <f t="shared" ref="M69" si="30">M68/$P$63</f>
        <v>0</v>
      </c>
      <c r="N69" s="5">
        <f t="shared" ref="N69" si="31">N68/$P$63</f>
        <v>0</v>
      </c>
      <c r="O69" s="5">
        <f t="shared" ref="O69" si="32">O68/$P$63</f>
        <v>0</v>
      </c>
    </row>
    <row r="70" spans="1:17" x14ac:dyDescent="0.55000000000000004">
      <c r="D70" s="1" t="s">
        <v>184</v>
      </c>
      <c r="E70" s="1">
        <f>E$53*E68</f>
        <v>118066.44705882351</v>
      </c>
      <c r="F70" s="1">
        <f t="shared" ref="F70" si="33">F$53*F68</f>
        <v>95986.099999999991</v>
      </c>
      <c r="G70" s="1">
        <f t="shared" ref="G70" si="34">G$53*G68</f>
        <v>57959.549301642925</v>
      </c>
      <c r="H70" s="1">
        <f t="shared" ref="H70" si="35">H$53*H68</f>
        <v>6940.2</v>
      </c>
      <c r="I70" s="1">
        <f t="shared" ref="I70" si="36">I$53*I68</f>
        <v>19212.879732630023</v>
      </c>
      <c r="J70" s="1">
        <f t="shared" ref="J70" si="37">J$53*J68</f>
        <v>523.6</v>
      </c>
      <c r="K70" s="1">
        <f t="shared" ref="K70" si="38">K$53*K68</f>
        <v>718</v>
      </c>
      <c r="L70" s="1">
        <f t="shared" ref="L70" si="39">L$53*L68</f>
        <v>0</v>
      </c>
      <c r="M70" s="1">
        <f t="shared" ref="M70" si="40">M$53*M68</f>
        <v>0</v>
      </c>
      <c r="N70" s="1">
        <f t="shared" ref="N70" si="41">N$53*N68</f>
        <v>0</v>
      </c>
      <c r="O70" s="1">
        <f t="shared" ref="O70" si="42">O$53*O68</f>
        <v>0</v>
      </c>
      <c r="P70" s="1">
        <f>SUM(E70:O70)</f>
        <v>299406.77609309647</v>
      </c>
      <c r="Q70" s="1">
        <f>P70*1.075</f>
        <v>321862.2843000787</v>
      </c>
    </row>
    <row r="71" spans="1:17" x14ac:dyDescent="0.55000000000000004">
      <c r="C71" s="1" t="s">
        <v>473</v>
      </c>
      <c r="E71" s="1">
        <v>878.47058823529392</v>
      </c>
      <c r="F71" s="1">
        <v>1025</v>
      </c>
      <c r="G71" s="1">
        <v>492.05270588235294</v>
      </c>
      <c r="H71" s="1">
        <v>86</v>
      </c>
      <c r="I71" s="1">
        <v>92.135529411764708</v>
      </c>
      <c r="J71" s="1">
        <v>7</v>
      </c>
      <c r="K71" s="1">
        <v>10</v>
      </c>
      <c r="L71" s="1">
        <v>0</v>
      </c>
      <c r="M71" s="1">
        <v>0</v>
      </c>
      <c r="N71" s="1">
        <v>0</v>
      </c>
      <c r="O71" s="1">
        <v>0</v>
      </c>
    </row>
    <row r="72" spans="1:17" x14ac:dyDescent="0.55000000000000004">
      <c r="F72" s="1">
        <f>E55/3</f>
        <v>101.29485757208268</v>
      </c>
      <c r="G72" s="1">
        <f>F72</f>
        <v>101.29485757208268</v>
      </c>
      <c r="I72" s="1">
        <f>G72</f>
        <v>101.29485757208268</v>
      </c>
    </row>
    <row r="73" spans="1:17" x14ac:dyDescent="0.55000000000000004">
      <c r="E73" s="1">
        <f>E71+E72</f>
        <v>878.47058823529392</v>
      </c>
      <c r="F73" s="1">
        <f t="shared" ref="F73" si="43">F71+F72</f>
        <v>1126.2948575720827</v>
      </c>
      <c r="G73" s="1">
        <f t="shared" ref="G73" si="44">G71+G72</f>
        <v>593.34756345443566</v>
      </c>
      <c r="H73" s="1">
        <f t="shared" ref="H73" si="45">H71+H72</f>
        <v>86</v>
      </c>
      <c r="I73" s="1">
        <f t="shared" ref="I73" si="46">I71+I72</f>
        <v>193.43038698384737</v>
      </c>
      <c r="J73" s="1">
        <f t="shared" ref="J73" si="47">J71+J72</f>
        <v>7</v>
      </c>
      <c r="K73" s="1">
        <f t="shared" ref="K73" si="48">K71+K72</f>
        <v>10</v>
      </c>
      <c r="L73" s="1">
        <f t="shared" ref="L73" si="49">L71+L72</f>
        <v>0</v>
      </c>
      <c r="M73" s="1">
        <f t="shared" ref="M73" si="50">M71+M72</f>
        <v>0</v>
      </c>
      <c r="N73" s="1">
        <f t="shared" ref="N73" si="51">N71+N72</f>
        <v>0</v>
      </c>
      <c r="O73" s="1">
        <f t="shared" ref="O73" si="52">O71+O72</f>
        <v>0</v>
      </c>
    </row>
    <row r="74" spans="1:17" x14ac:dyDescent="0.55000000000000004">
      <c r="D74" s="1" t="s">
        <v>184</v>
      </c>
      <c r="E74" s="1">
        <f>E$53*E73</f>
        <v>118066.44705882351</v>
      </c>
      <c r="F74" s="1">
        <f t="shared" ref="F74" si="53">F$53*F73</f>
        <v>104858.0512399609</v>
      </c>
      <c r="G74" s="1">
        <f t="shared" ref="G74" si="54">G$53*G73</f>
        <v>53401.280710899213</v>
      </c>
      <c r="H74" s="1">
        <f t="shared" ref="H74" si="55">H$53*H73</f>
        <v>6940.2</v>
      </c>
      <c r="I74" s="1">
        <f t="shared" ref="I74" si="56">I$53*I73</f>
        <v>15609.832229596483</v>
      </c>
      <c r="J74" s="1">
        <f t="shared" ref="J74" si="57">J$53*J73</f>
        <v>523.6</v>
      </c>
      <c r="K74" s="1">
        <f t="shared" ref="K74" si="58">K$53*K73</f>
        <v>718</v>
      </c>
      <c r="L74" s="1">
        <f t="shared" ref="L74" si="59">L$53*L73</f>
        <v>0</v>
      </c>
      <c r="M74" s="1">
        <f t="shared" ref="M74" si="60">M$53*M73</f>
        <v>0</v>
      </c>
      <c r="N74" s="1">
        <f t="shared" ref="N74" si="61">N$53*N73</f>
        <v>0</v>
      </c>
      <c r="O74" s="1">
        <f t="shared" ref="O74" si="62">O$53*O73</f>
        <v>0</v>
      </c>
      <c r="P74" s="1">
        <f>SUM(E74:O74)</f>
        <v>300117.41123928013</v>
      </c>
      <c r="Q74" s="1">
        <f>P74*1.075</f>
        <v>322626.21708222613</v>
      </c>
    </row>
    <row r="75" spans="1:17" x14ac:dyDescent="0.55000000000000004">
      <c r="C75" s="1" t="s">
        <v>474</v>
      </c>
      <c r="E75" s="1">
        <v>878.47058823529392</v>
      </c>
      <c r="F75" s="1">
        <v>1025</v>
      </c>
      <c r="G75" s="1">
        <v>492.05270588235294</v>
      </c>
      <c r="H75" s="1">
        <v>86</v>
      </c>
      <c r="I75" s="1">
        <v>92.135529411764708</v>
      </c>
      <c r="J75" s="1">
        <v>7</v>
      </c>
      <c r="K75" s="1">
        <v>10</v>
      </c>
      <c r="L75" s="1">
        <v>0</v>
      </c>
      <c r="M75" s="1">
        <v>0</v>
      </c>
      <c r="N75" s="1">
        <v>0</v>
      </c>
      <c r="O75" s="1">
        <v>0</v>
      </c>
    </row>
    <row r="76" spans="1:17" x14ac:dyDescent="0.55000000000000004">
      <c r="G76" s="1">
        <f>E55</f>
        <v>303.88457271624804</v>
      </c>
    </row>
    <row r="77" spans="1:17" x14ac:dyDescent="0.55000000000000004">
      <c r="E77" s="1">
        <f>E75+E76</f>
        <v>878.47058823529392</v>
      </c>
      <c r="F77" s="1">
        <f t="shared" ref="F77" si="63">F75+F76</f>
        <v>1025</v>
      </c>
      <c r="G77" s="1">
        <f t="shared" ref="G77" si="64">G75+G76</f>
        <v>795.93727859860098</v>
      </c>
      <c r="H77" s="1">
        <f t="shared" ref="H77" si="65">H75+H76</f>
        <v>86</v>
      </c>
      <c r="I77" s="1">
        <f t="shared" ref="I77" si="66">I75+I76</f>
        <v>92.135529411764708</v>
      </c>
      <c r="J77" s="1">
        <f t="shared" ref="J77" si="67">J75+J76</f>
        <v>7</v>
      </c>
      <c r="K77" s="1">
        <f t="shared" ref="K77" si="68">K75+K76</f>
        <v>10</v>
      </c>
      <c r="L77" s="1">
        <f t="shared" ref="L77" si="69">L75+L76</f>
        <v>0</v>
      </c>
      <c r="M77" s="1">
        <f t="shared" ref="M77" si="70">M75+M76</f>
        <v>0</v>
      </c>
      <c r="N77" s="1">
        <f t="shared" ref="N77" si="71">N75+N76</f>
        <v>0</v>
      </c>
      <c r="O77" s="1">
        <f t="shared" ref="O77" si="72">O75+O76</f>
        <v>0</v>
      </c>
    </row>
    <row r="78" spans="1:17" x14ac:dyDescent="0.55000000000000004">
      <c r="D78" s="1" t="s">
        <v>184</v>
      </c>
      <c r="E78" s="1">
        <f>E$53*E77</f>
        <v>118066.44705882351</v>
      </c>
      <c r="F78" s="1">
        <f t="shared" ref="F78" si="73">F$53*F77</f>
        <v>95427.5</v>
      </c>
      <c r="G78" s="1">
        <f t="shared" ref="G78" si="74">G$53*G77</f>
        <v>71634.355073874089</v>
      </c>
      <c r="H78" s="1">
        <f t="shared" ref="H78" si="75">H$53*H77</f>
        <v>6940.2</v>
      </c>
      <c r="I78" s="1">
        <f t="shared" ref="I78" si="76">I$53*I77</f>
        <v>7435.3372235294119</v>
      </c>
      <c r="J78" s="1">
        <f t="shared" ref="J78" si="77">J$53*J77</f>
        <v>523.6</v>
      </c>
      <c r="K78" s="1">
        <f t="shared" ref="K78" si="78">K$53*K77</f>
        <v>718</v>
      </c>
      <c r="L78" s="1">
        <f t="shared" ref="L78" si="79">L$53*L77</f>
        <v>0</v>
      </c>
      <c r="M78" s="1">
        <f t="shared" ref="M78" si="80">M$53*M77</f>
        <v>0</v>
      </c>
      <c r="N78" s="1">
        <f t="shared" ref="N78" si="81">N$53*N77</f>
        <v>0</v>
      </c>
      <c r="O78" s="1">
        <f t="shared" ref="O78" si="82">O$53*O77</f>
        <v>0</v>
      </c>
      <c r="P78" s="1">
        <f>SUM(E78:O78)</f>
        <v>300745.439356227</v>
      </c>
      <c r="Q78" s="1">
        <f>P78*1.075</f>
        <v>323301.34730794403</v>
      </c>
    </row>
    <row r="80" spans="1:17" x14ac:dyDescent="0.55000000000000004">
      <c r="A80" s="4" t="s">
        <v>23</v>
      </c>
      <c r="B80" s="8"/>
    </row>
    <row r="81" spans="2:4" x14ac:dyDescent="0.55000000000000004">
      <c r="B81" s="1" t="s">
        <v>464</v>
      </c>
    </row>
    <row r="82" spans="2:4" x14ac:dyDescent="0.55000000000000004">
      <c r="D82" s="1" t="s">
        <v>23</v>
      </c>
    </row>
    <row r="83" spans="2:4" x14ac:dyDescent="0.55000000000000004">
      <c r="C83" s="1">
        <v>2014</v>
      </c>
      <c r="D83" s="1">
        <v>47.1</v>
      </c>
    </row>
    <row r="84" spans="2:4" x14ac:dyDescent="0.55000000000000004">
      <c r="C84" s="1">
        <v>2015</v>
      </c>
      <c r="D84" s="1">
        <v>50.2</v>
      </c>
    </row>
    <row r="85" spans="2:4" x14ac:dyDescent="0.55000000000000004">
      <c r="C85" s="1">
        <v>2016</v>
      </c>
      <c r="D85" s="1">
        <v>54</v>
      </c>
    </row>
    <row r="86" spans="2:4" x14ac:dyDescent="0.55000000000000004">
      <c r="C86" s="1">
        <v>2017</v>
      </c>
      <c r="D86" s="1">
        <v>52</v>
      </c>
    </row>
    <row r="87" spans="2:4" x14ac:dyDescent="0.55000000000000004">
      <c r="C87" s="1">
        <v>2018</v>
      </c>
      <c r="D87" s="1">
        <v>51.5</v>
      </c>
    </row>
    <row r="88" spans="2:4" x14ac:dyDescent="0.55000000000000004">
      <c r="C88" s="1">
        <v>2019</v>
      </c>
      <c r="D88" s="1">
        <v>44.9</v>
      </c>
    </row>
    <row r="89" spans="2:4" x14ac:dyDescent="0.55000000000000004">
      <c r="C89" s="1">
        <v>2020</v>
      </c>
      <c r="D89" s="1">
        <v>41.5</v>
      </c>
    </row>
    <row r="90" spans="2:4" x14ac:dyDescent="0.55000000000000004">
      <c r="C90" s="1">
        <v>2021</v>
      </c>
      <c r="D90" s="1">
        <v>44.9</v>
      </c>
    </row>
    <row r="91" spans="2:4" x14ac:dyDescent="0.55000000000000004">
      <c r="D91" s="1">
        <f>SUM(D83:D90)</f>
        <v>386.09999999999997</v>
      </c>
    </row>
    <row r="92" spans="2:4" x14ac:dyDescent="0.55000000000000004">
      <c r="B92" s="1" t="s">
        <v>484</v>
      </c>
    </row>
    <row r="93" spans="2:4" x14ac:dyDescent="0.55000000000000004">
      <c r="C93" s="1">
        <v>2013</v>
      </c>
      <c r="D93" s="1">
        <v>2162</v>
      </c>
    </row>
    <row r="94" spans="2:4" x14ac:dyDescent="0.55000000000000004">
      <c r="C94" s="1">
        <v>2030</v>
      </c>
      <c r="D94" s="1">
        <v>2530</v>
      </c>
    </row>
    <row r="95" spans="2:4" x14ac:dyDescent="0.55000000000000004">
      <c r="C95" s="1" t="s">
        <v>42</v>
      </c>
      <c r="D95" s="1">
        <f>D94-D93</f>
        <v>368</v>
      </c>
    </row>
    <row r="96" spans="2:4" x14ac:dyDescent="0.55000000000000004">
      <c r="C96" s="1" t="s">
        <v>485</v>
      </c>
      <c r="D96" s="1">
        <f>D95/17</f>
        <v>21.647058823529413</v>
      </c>
    </row>
    <row r="97" spans="1:16" x14ac:dyDescent="0.55000000000000004">
      <c r="C97" s="1" t="s">
        <v>50</v>
      </c>
      <c r="D97" s="1">
        <f>D96*8</f>
        <v>173.1764705882353</v>
      </c>
      <c r="F97" s="1" t="s">
        <v>477</v>
      </c>
      <c r="H97" s="1">
        <f>D96*9</f>
        <v>194.82352941176472</v>
      </c>
    </row>
    <row r="99" spans="1:16" x14ac:dyDescent="0.55000000000000004">
      <c r="B99" s="1" t="s">
        <v>486</v>
      </c>
      <c r="D99" s="1">
        <f>D91-D97</f>
        <v>212.92352941176466</v>
      </c>
    </row>
    <row r="102" spans="1:16" x14ac:dyDescent="0.55000000000000004">
      <c r="E102" s="1" t="s">
        <v>41</v>
      </c>
      <c r="F102" s="1" t="s">
        <v>27</v>
      </c>
      <c r="G102" s="1" t="s">
        <v>28</v>
      </c>
      <c r="H102" s="1" t="s">
        <v>29</v>
      </c>
      <c r="I102" s="1" t="s">
        <v>30</v>
      </c>
      <c r="J102" s="1" t="s">
        <v>39</v>
      </c>
      <c r="K102" s="1" t="s">
        <v>31</v>
      </c>
      <c r="L102" s="1" t="s">
        <v>32</v>
      </c>
      <c r="M102" s="1" t="s">
        <v>33</v>
      </c>
      <c r="N102" s="1" t="s">
        <v>43</v>
      </c>
      <c r="O102" s="1" t="s">
        <v>34</v>
      </c>
    </row>
    <row r="103" spans="1:16" x14ac:dyDescent="0.55000000000000004">
      <c r="E103" s="10">
        <v>82</v>
      </c>
      <c r="F103" s="10">
        <v>75.400000000000006</v>
      </c>
      <c r="G103" s="10">
        <v>68.8</v>
      </c>
      <c r="H103" s="10">
        <v>62.8</v>
      </c>
      <c r="I103" s="10">
        <v>62.8</v>
      </c>
      <c r="J103" s="10">
        <v>58.2</v>
      </c>
      <c r="K103" s="10">
        <v>55.9</v>
      </c>
      <c r="L103" s="10">
        <v>53.5</v>
      </c>
      <c r="M103" s="10">
        <v>51.2</v>
      </c>
      <c r="N103" s="10">
        <v>48.9</v>
      </c>
      <c r="O103" s="10">
        <v>0</v>
      </c>
    </row>
    <row r="104" spans="1:16" x14ac:dyDescent="0.55000000000000004">
      <c r="C104" s="1" t="s">
        <v>44</v>
      </c>
      <c r="E104" s="1">
        <v>614</v>
      </c>
      <c r="F104" s="1">
        <v>882</v>
      </c>
      <c r="G104" s="1">
        <v>491</v>
      </c>
      <c r="H104" s="1">
        <v>95</v>
      </c>
      <c r="I104" s="1">
        <v>62</v>
      </c>
      <c r="J104" s="1">
        <v>7</v>
      </c>
      <c r="K104" s="1">
        <v>11</v>
      </c>
      <c r="L104" s="1">
        <v>0</v>
      </c>
      <c r="M104" s="1">
        <v>0</v>
      </c>
      <c r="N104" s="1">
        <v>0</v>
      </c>
      <c r="O104" s="1">
        <v>0</v>
      </c>
    </row>
    <row r="105" spans="1:16" x14ac:dyDescent="0.55000000000000004">
      <c r="C105" s="1" t="s">
        <v>486</v>
      </c>
      <c r="E105" s="1">
        <f>D99</f>
        <v>212.92352941176466</v>
      </c>
    </row>
    <row r="106" spans="1:16" x14ac:dyDescent="0.55000000000000004">
      <c r="C106" s="1" t="s">
        <v>469</v>
      </c>
      <c r="E106" s="1">
        <v>0</v>
      </c>
      <c r="F106" s="1">
        <v>-11.511999999999967</v>
      </c>
      <c r="G106" s="1">
        <v>11.323999999999922</v>
      </c>
      <c r="I106" s="1">
        <v>0.18800000000004449</v>
      </c>
    </row>
    <row r="107" spans="1:16" x14ac:dyDescent="0.55000000000000004">
      <c r="C107" s="1" t="s">
        <v>487</v>
      </c>
      <c r="E107" s="1">
        <v>0</v>
      </c>
      <c r="F107" s="1">
        <v>0</v>
      </c>
      <c r="G107" s="1">
        <v>15.334583896696358</v>
      </c>
      <c r="H107" s="1">
        <v>0</v>
      </c>
      <c r="I107" s="1">
        <v>41.266641121817713</v>
      </c>
      <c r="J107" s="1">
        <v>17.952413081764803</v>
      </c>
      <c r="K107" s="1">
        <v>74.664758273443312</v>
      </c>
      <c r="L107" s="1">
        <v>142.86236512521114</v>
      </c>
      <c r="M107" s="1">
        <v>48.446582598609638</v>
      </c>
      <c r="N107" s="1">
        <v>48.391022512027398</v>
      </c>
      <c r="O107" s="1">
        <v>0</v>
      </c>
    </row>
    <row r="108" spans="1:16" x14ac:dyDescent="0.55000000000000004">
      <c r="C108" s="1" t="s">
        <v>72</v>
      </c>
      <c r="E108" s="4">
        <f>E104-E105+E107+E106</f>
        <v>401.07647058823534</v>
      </c>
      <c r="F108" s="4">
        <f t="shared" ref="F108:O108" si="83">F104-F105+F107+F106</f>
        <v>870.48800000000006</v>
      </c>
      <c r="G108" s="4">
        <f t="shared" si="83"/>
        <v>517.65858389669631</v>
      </c>
      <c r="H108" s="4">
        <f t="shared" si="83"/>
        <v>95</v>
      </c>
      <c r="I108" s="4">
        <f t="shared" si="83"/>
        <v>103.45464112181776</v>
      </c>
      <c r="J108" s="4">
        <f t="shared" si="83"/>
        <v>24.952413081764803</v>
      </c>
      <c r="K108" s="4">
        <f t="shared" si="83"/>
        <v>85.664758273443312</v>
      </c>
      <c r="L108" s="4">
        <f t="shared" si="83"/>
        <v>142.86236512521114</v>
      </c>
      <c r="M108" s="4">
        <f t="shared" si="83"/>
        <v>48.446582598609638</v>
      </c>
      <c r="N108" s="4">
        <f t="shared" si="83"/>
        <v>48.391022512027398</v>
      </c>
      <c r="O108" s="4">
        <f t="shared" si="83"/>
        <v>0</v>
      </c>
      <c r="P108" s="1">
        <f>SUM(E108:O108)</f>
        <v>2337.9948371978053</v>
      </c>
    </row>
    <row r="109" spans="1:16" x14ac:dyDescent="0.55000000000000004">
      <c r="C109" s="1" t="s">
        <v>489</v>
      </c>
      <c r="E109" s="1">
        <f>E103*E108</f>
        <v>32888.270588235297</v>
      </c>
      <c r="F109" s="1">
        <f t="shared" ref="F109:O109" si="84">F103*F108</f>
        <v>65634.795200000008</v>
      </c>
      <c r="G109" s="1">
        <f t="shared" si="84"/>
        <v>35614.910572092704</v>
      </c>
      <c r="H109" s="1">
        <f t="shared" si="84"/>
        <v>5966</v>
      </c>
      <c r="I109" s="1">
        <f t="shared" si="84"/>
        <v>6496.9514624501553</v>
      </c>
      <c r="J109" s="1">
        <f t="shared" si="84"/>
        <v>1452.2304413587117</v>
      </c>
      <c r="K109" s="1">
        <f t="shared" si="84"/>
        <v>4788.659987485481</v>
      </c>
      <c r="L109" s="1">
        <f t="shared" si="84"/>
        <v>7643.1365341987957</v>
      </c>
      <c r="M109" s="1">
        <f t="shared" si="84"/>
        <v>2480.4650290488134</v>
      </c>
      <c r="N109" s="1">
        <f t="shared" si="84"/>
        <v>2366.3210008381398</v>
      </c>
      <c r="O109" s="1">
        <f t="shared" si="84"/>
        <v>0</v>
      </c>
      <c r="P109" s="4">
        <f>SUM(E109:O109)</f>
        <v>165331.74081570809</v>
      </c>
    </row>
    <row r="111" spans="1:16" x14ac:dyDescent="0.55000000000000004">
      <c r="A111" s="4" t="s">
        <v>501</v>
      </c>
    </row>
    <row r="113" spans="2:16" x14ac:dyDescent="0.55000000000000004">
      <c r="E113" s="1" t="s">
        <v>41</v>
      </c>
      <c r="F113" s="1" t="s">
        <v>27</v>
      </c>
      <c r="G113" s="1" t="s">
        <v>28</v>
      </c>
      <c r="H113" s="1" t="s">
        <v>29</v>
      </c>
      <c r="I113" s="1" t="s">
        <v>30</v>
      </c>
      <c r="J113" s="1" t="s">
        <v>39</v>
      </c>
      <c r="K113" s="1" t="s">
        <v>31</v>
      </c>
      <c r="L113" s="1" t="s">
        <v>32</v>
      </c>
      <c r="M113" s="1" t="s">
        <v>33</v>
      </c>
      <c r="O113" s="1" t="s">
        <v>34</v>
      </c>
    </row>
    <row r="114" spans="2:16" x14ac:dyDescent="0.55000000000000004">
      <c r="B114" s="1" t="s">
        <v>494</v>
      </c>
      <c r="E114" s="1">
        <v>1083.1154272837521</v>
      </c>
      <c r="F114" s="1">
        <v>1031</v>
      </c>
      <c r="G114" s="1">
        <v>478.1108751021103</v>
      </c>
      <c r="H114" s="1">
        <v>86</v>
      </c>
      <c r="I114" s="1">
        <v>132.61115010957525</v>
      </c>
      <c r="J114" s="1">
        <v>36.126431264464955</v>
      </c>
      <c r="K114" s="1">
        <v>143.31636457587965</v>
      </c>
      <c r="L114" s="1">
        <v>29.811387709246674</v>
      </c>
      <c r="M114" s="1">
        <v>7.8060282293437417</v>
      </c>
      <c r="O114" s="1">
        <v>21.102335725627455</v>
      </c>
    </row>
    <row r="115" spans="2:16" x14ac:dyDescent="0.55000000000000004">
      <c r="B115" s="1" t="s">
        <v>495</v>
      </c>
      <c r="E115" s="1">
        <v>-120.941176470588</v>
      </c>
    </row>
    <row r="116" spans="2:16" x14ac:dyDescent="0.55000000000000004">
      <c r="B116" s="1" t="s">
        <v>496</v>
      </c>
      <c r="E116" s="1">
        <v>-50.188235294117703</v>
      </c>
      <c r="F116" s="1">
        <v>0</v>
      </c>
      <c r="G116" s="1">
        <v>14.0527058823529</v>
      </c>
      <c r="H116" s="1">
        <v>0</v>
      </c>
      <c r="I116" s="1">
        <v>36.135529411764701</v>
      </c>
    </row>
    <row r="117" spans="2:16" x14ac:dyDescent="0.55000000000000004">
      <c r="B117" s="4" t="s">
        <v>497</v>
      </c>
      <c r="C117" s="4"/>
      <c r="D117" s="4"/>
      <c r="E117" s="4">
        <f>E114+E115+E116</f>
        <v>911.9860155190463</v>
      </c>
      <c r="F117" s="4">
        <f t="shared" ref="F117:K117" si="85">F114+F115+F116</f>
        <v>1031</v>
      </c>
      <c r="G117" s="4">
        <f t="shared" si="85"/>
        <v>492.16358098446318</v>
      </c>
      <c r="H117" s="4">
        <f t="shared" si="85"/>
        <v>86</v>
      </c>
      <c r="I117" s="4">
        <f t="shared" si="85"/>
        <v>168.74667952133996</v>
      </c>
      <c r="J117" s="4">
        <f t="shared" si="85"/>
        <v>36.126431264464955</v>
      </c>
      <c r="K117" s="4">
        <f t="shared" si="85"/>
        <v>143.31636457587965</v>
      </c>
      <c r="L117" s="4">
        <f>L114+L115+L116</f>
        <v>29.811387709246674</v>
      </c>
      <c r="M117" s="4">
        <f>M114+M115+M116</f>
        <v>7.8060282293437417</v>
      </c>
      <c r="N117" s="4"/>
      <c r="O117" s="4">
        <f>O114+O115+O116</f>
        <v>21.102335725627455</v>
      </c>
      <c r="P117" s="1">
        <f>SUM(E117:O117)</f>
        <v>2928.0588235294122</v>
      </c>
    </row>
    <row r="118" spans="2:16" x14ac:dyDescent="0.55000000000000004">
      <c r="B118" s="1" t="s">
        <v>498</v>
      </c>
      <c r="E118" s="1">
        <f>E53*E117</f>
        <v>122570.92048575982</v>
      </c>
      <c r="F118" s="1">
        <f t="shared" ref="F118:O118" si="86">F53*F117</f>
        <v>95986.099999999991</v>
      </c>
      <c r="G118" s="1">
        <f t="shared" si="86"/>
        <v>44294.72228860169</v>
      </c>
      <c r="H118" s="1">
        <f t="shared" si="86"/>
        <v>6940.2</v>
      </c>
      <c r="I118" s="1">
        <f t="shared" si="86"/>
        <v>13617.857037372134</v>
      </c>
      <c r="J118" s="1">
        <f t="shared" si="86"/>
        <v>2702.2570585819785</v>
      </c>
      <c r="K118" s="1">
        <f t="shared" si="86"/>
        <v>10290.114976548159</v>
      </c>
      <c r="L118" s="1">
        <f t="shared" si="86"/>
        <v>2051.023474396171</v>
      </c>
      <c r="M118" s="1">
        <f t="shared" si="86"/>
        <v>513.63665749081815</v>
      </c>
      <c r="N118" s="1">
        <f t="shared" si="86"/>
        <v>0</v>
      </c>
      <c r="O118" s="1">
        <f t="shared" si="86"/>
        <v>1264.0299099650845</v>
      </c>
      <c r="P118" s="1">
        <f>SUM(E118:O118)</f>
        <v>300230.86188871582</v>
      </c>
    </row>
    <row r="119" spans="2:16" x14ac:dyDescent="0.55000000000000004">
      <c r="H119" s="1">
        <f>H118+I118</f>
        <v>20558.057037372135</v>
      </c>
      <c r="P119" s="1">
        <f>P118/P117</f>
        <v>102.53580272230485</v>
      </c>
    </row>
    <row r="120" spans="2:16" x14ac:dyDescent="0.55000000000000004">
      <c r="E120" s="1">
        <v>911.9860155190463</v>
      </c>
      <c r="F120" s="1">
        <v>1031</v>
      </c>
      <c r="G120" s="1">
        <v>492.16358098446318</v>
      </c>
      <c r="H120" s="1">
        <v>86</v>
      </c>
      <c r="I120" s="1">
        <v>168.74667952133996</v>
      </c>
      <c r="J120" s="1">
        <v>36.126431264464955</v>
      </c>
      <c r="K120" s="1">
        <v>143.31636457587965</v>
      </c>
      <c r="L120" s="1">
        <v>29.811387709246674</v>
      </c>
      <c r="M120" s="1">
        <v>7.8060282293437417</v>
      </c>
      <c r="O120" s="1">
        <v>21.102335725627455</v>
      </c>
    </row>
  </sheetData>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4DBB8-AAD6-4928-9117-C5ED654EBC0E}">
  <dimension ref="A1:O44"/>
  <sheetViews>
    <sheetView workbookViewId="0">
      <selection activeCell="K17" sqref="K17"/>
    </sheetView>
  </sheetViews>
  <sheetFormatPr defaultColWidth="8.58203125" defaultRowHeight="15" x14ac:dyDescent="0.55000000000000004"/>
  <cols>
    <col min="1" max="16384" width="8.58203125" style="1"/>
  </cols>
  <sheetData>
    <row r="1" spans="1:15" x14ac:dyDescent="0.55000000000000004">
      <c r="A1" s="4" t="s">
        <v>9</v>
      </c>
    </row>
    <row r="2" spans="1:15" x14ac:dyDescent="0.55000000000000004">
      <c r="C2" s="1" t="s">
        <v>0</v>
      </c>
      <c r="D2" s="1" t="s">
        <v>1</v>
      </c>
      <c r="E2" s="1" t="s">
        <v>2</v>
      </c>
      <c r="F2" s="1" t="s">
        <v>3</v>
      </c>
      <c r="G2" s="1" t="s">
        <v>4</v>
      </c>
      <c r="H2" s="1" t="s">
        <v>40</v>
      </c>
      <c r="I2" s="1" t="s">
        <v>5</v>
      </c>
      <c r="J2" s="1" t="s">
        <v>6</v>
      </c>
      <c r="K2" s="1" t="s">
        <v>7</v>
      </c>
      <c r="L2" s="1" t="s">
        <v>56</v>
      </c>
      <c r="M2" s="1" t="s">
        <v>8</v>
      </c>
    </row>
    <row r="3" spans="1:15" x14ac:dyDescent="0.55000000000000004">
      <c r="B3" s="1" t="s">
        <v>24</v>
      </c>
      <c r="C3" s="1">
        <v>134.4</v>
      </c>
      <c r="D3" s="1">
        <v>93.1</v>
      </c>
      <c r="E3" s="1">
        <v>90</v>
      </c>
      <c r="F3" s="1">
        <v>80.7</v>
      </c>
      <c r="G3" s="1">
        <v>80.7</v>
      </c>
      <c r="H3" s="1">
        <v>74.8</v>
      </c>
      <c r="I3" s="1">
        <v>71.8</v>
      </c>
      <c r="J3" s="1">
        <v>68.8</v>
      </c>
      <c r="K3" s="1">
        <v>65.8</v>
      </c>
      <c r="L3" s="1">
        <v>0</v>
      </c>
      <c r="M3" s="1">
        <v>59.9</v>
      </c>
    </row>
    <row r="4" spans="1:15" x14ac:dyDescent="0.55000000000000004">
      <c r="B4" s="1" t="s">
        <v>25</v>
      </c>
      <c r="C4" s="1">
        <v>82</v>
      </c>
      <c r="D4" s="1">
        <v>75.400000000000006</v>
      </c>
      <c r="E4" s="1">
        <v>68.8</v>
      </c>
      <c r="F4" s="1">
        <v>62.8</v>
      </c>
      <c r="G4" s="1">
        <v>62.8</v>
      </c>
      <c r="H4" s="1">
        <v>58.2</v>
      </c>
      <c r="I4" s="1">
        <v>55.9</v>
      </c>
      <c r="J4" s="1">
        <v>53.5</v>
      </c>
      <c r="K4" s="1">
        <v>51.2</v>
      </c>
      <c r="L4" s="1">
        <v>48.9</v>
      </c>
      <c r="M4" s="1">
        <v>0</v>
      </c>
    </row>
    <row r="5" spans="1:15" x14ac:dyDescent="0.55000000000000004">
      <c r="A5" s="4" t="s">
        <v>10</v>
      </c>
      <c r="M5" s="5"/>
      <c r="N5" s="1" t="s">
        <v>147</v>
      </c>
    </row>
    <row r="6" spans="1:15" x14ac:dyDescent="0.55000000000000004">
      <c r="B6" s="1" t="s">
        <v>24</v>
      </c>
      <c r="C6" s="1">
        <v>1387</v>
      </c>
      <c r="D6" s="1">
        <v>1025</v>
      </c>
      <c r="E6" s="1">
        <v>478</v>
      </c>
      <c r="F6" s="1">
        <v>86</v>
      </c>
      <c r="G6" s="1">
        <v>56</v>
      </c>
      <c r="H6" s="1">
        <v>7</v>
      </c>
      <c r="I6" s="1">
        <v>10</v>
      </c>
      <c r="J6" s="1">
        <v>0</v>
      </c>
      <c r="K6" s="1">
        <v>0</v>
      </c>
      <c r="L6" s="1">
        <v>0</v>
      </c>
      <c r="M6" s="1">
        <v>0</v>
      </c>
      <c r="N6" s="1">
        <f>SUM(C6:M6)</f>
        <v>3049</v>
      </c>
    </row>
    <row r="7" spans="1:15" x14ac:dyDescent="0.55000000000000004">
      <c r="B7" s="1" t="s">
        <v>25</v>
      </c>
      <c r="C7" s="1">
        <v>614</v>
      </c>
      <c r="D7" s="1">
        <v>882</v>
      </c>
      <c r="E7" s="1">
        <v>491</v>
      </c>
      <c r="F7" s="1">
        <v>95</v>
      </c>
      <c r="G7" s="1">
        <v>62</v>
      </c>
      <c r="H7" s="1">
        <v>7</v>
      </c>
      <c r="I7" s="1">
        <v>11</v>
      </c>
      <c r="J7" s="1">
        <v>0</v>
      </c>
      <c r="K7" s="1">
        <v>0</v>
      </c>
      <c r="L7" s="1">
        <v>0</v>
      </c>
      <c r="M7" s="1">
        <v>0</v>
      </c>
      <c r="N7" s="1">
        <f>SUM(C7:M7)</f>
        <v>2162</v>
      </c>
    </row>
    <row r="8" spans="1:15" x14ac:dyDescent="0.55000000000000004">
      <c r="M8" s="5"/>
    </row>
    <row r="9" spans="1:15" x14ac:dyDescent="0.55000000000000004">
      <c r="A9" s="4" t="s">
        <v>37</v>
      </c>
    </row>
    <row r="10" spans="1:15" x14ac:dyDescent="0.55000000000000004">
      <c r="A10" s="1">
        <v>2013</v>
      </c>
      <c r="B10" s="1" t="s">
        <v>24</v>
      </c>
      <c r="N10" s="5"/>
    </row>
    <row r="11" spans="1:15" x14ac:dyDescent="0.55000000000000004">
      <c r="B11" s="1" t="s">
        <v>25</v>
      </c>
      <c r="N11" s="7" t="s">
        <v>26</v>
      </c>
    </row>
    <row r="12" spans="1:15" x14ac:dyDescent="0.55000000000000004">
      <c r="A12" s="1">
        <v>2019</v>
      </c>
      <c r="B12" s="1" t="s">
        <v>24</v>
      </c>
      <c r="C12" s="1">
        <v>0</v>
      </c>
      <c r="D12" s="1">
        <v>0</v>
      </c>
      <c r="E12" s="1">
        <v>12.8</v>
      </c>
      <c r="F12" s="1">
        <v>0</v>
      </c>
      <c r="G12" s="1">
        <v>7.5</v>
      </c>
      <c r="H12" s="1">
        <v>13.1</v>
      </c>
      <c r="I12" s="1">
        <v>44.3</v>
      </c>
      <c r="J12" s="1">
        <v>2</v>
      </c>
      <c r="K12" s="1">
        <v>5.6</v>
      </c>
      <c r="L12" s="1">
        <v>0</v>
      </c>
      <c r="M12" s="1">
        <v>14.7</v>
      </c>
      <c r="N12" s="7">
        <f t="shared" ref="N12:N17" si="0">SUM(C12:M12)</f>
        <v>99.999999999999986</v>
      </c>
    </row>
    <row r="13" spans="1:15" x14ac:dyDescent="0.55000000000000004">
      <c r="B13" s="1" t="s">
        <v>25</v>
      </c>
      <c r="C13" s="1">
        <v>0</v>
      </c>
      <c r="D13" s="1">
        <v>0</v>
      </c>
      <c r="E13" s="1">
        <v>33.700000000000003</v>
      </c>
      <c r="F13" s="1">
        <v>0</v>
      </c>
      <c r="G13" s="1">
        <v>9.4</v>
      </c>
      <c r="H13" s="1">
        <v>8</v>
      </c>
      <c r="I13" s="1">
        <v>48.6</v>
      </c>
      <c r="J13" s="1">
        <v>0.3</v>
      </c>
      <c r="K13" s="1">
        <v>0</v>
      </c>
      <c r="L13" s="1">
        <v>0</v>
      </c>
      <c r="M13" s="1">
        <v>0</v>
      </c>
      <c r="N13" s="7">
        <f t="shared" si="0"/>
        <v>100</v>
      </c>
    </row>
    <row r="14" spans="1:15" x14ac:dyDescent="0.55000000000000004">
      <c r="A14" s="1">
        <v>2020</v>
      </c>
      <c r="B14" s="1" t="s">
        <v>24</v>
      </c>
      <c r="C14" s="1">
        <v>0</v>
      </c>
      <c r="D14" s="1">
        <v>0</v>
      </c>
      <c r="E14" s="1">
        <v>10.7</v>
      </c>
      <c r="F14" s="1">
        <v>0</v>
      </c>
      <c r="G14" s="1">
        <v>7.8</v>
      </c>
      <c r="H14" s="1">
        <v>11.9</v>
      </c>
      <c r="I14" s="1">
        <v>44.3</v>
      </c>
      <c r="J14" s="1">
        <v>2</v>
      </c>
      <c r="K14" s="1">
        <v>5.6</v>
      </c>
      <c r="L14" s="1">
        <v>0</v>
      </c>
      <c r="M14" s="1">
        <v>14.7</v>
      </c>
      <c r="N14" s="7">
        <f t="shared" si="0"/>
        <v>96.999999999999986</v>
      </c>
      <c r="O14" s="5" t="s">
        <v>38</v>
      </c>
    </row>
    <row r="15" spans="1:15" x14ac:dyDescent="0.55000000000000004">
      <c r="B15" s="1" t="s">
        <v>25</v>
      </c>
      <c r="C15" s="1">
        <v>0</v>
      </c>
      <c r="D15" s="1">
        <v>0</v>
      </c>
      <c r="E15" s="1">
        <v>27.6</v>
      </c>
      <c r="F15" s="1">
        <v>0</v>
      </c>
      <c r="G15" s="1">
        <v>9.6999999999999993</v>
      </c>
      <c r="H15" s="1">
        <v>11.8</v>
      </c>
      <c r="I15" s="1">
        <v>49.3</v>
      </c>
      <c r="J15" s="1">
        <v>0.3</v>
      </c>
      <c r="K15" s="1">
        <v>0.7</v>
      </c>
      <c r="L15" s="1">
        <v>0.6</v>
      </c>
      <c r="M15" s="1">
        <v>0</v>
      </c>
      <c r="N15" s="7">
        <f t="shared" si="0"/>
        <v>99.999999999999986</v>
      </c>
    </row>
    <row r="16" spans="1:15" x14ac:dyDescent="0.55000000000000004">
      <c r="A16" s="1">
        <v>2025</v>
      </c>
      <c r="B16" s="1" t="s">
        <v>24</v>
      </c>
      <c r="C16" s="1">
        <v>0</v>
      </c>
      <c r="D16" s="1">
        <v>0</v>
      </c>
      <c r="E16" s="1">
        <v>0</v>
      </c>
      <c r="F16" s="1">
        <v>0</v>
      </c>
      <c r="G16" s="1">
        <v>9.1999999999999993</v>
      </c>
      <c r="H16" s="1">
        <v>6</v>
      </c>
      <c r="I16" s="1">
        <v>20.100000000000001</v>
      </c>
      <c r="J16" s="1">
        <v>33.6</v>
      </c>
      <c r="K16" s="1">
        <v>8</v>
      </c>
      <c r="L16" s="1">
        <v>0</v>
      </c>
      <c r="M16" s="1">
        <v>23.1</v>
      </c>
      <c r="N16" s="7">
        <f t="shared" si="0"/>
        <v>100</v>
      </c>
    </row>
    <row r="17" spans="1:15" x14ac:dyDescent="0.55000000000000004">
      <c r="B17" s="1" t="s">
        <v>25</v>
      </c>
      <c r="C17" s="1">
        <v>0</v>
      </c>
      <c r="D17" s="1">
        <v>0</v>
      </c>
      <c r="E17" s="1">
        <v>0</v>
      </c>
      <c r="F17" s="1">
        <v>0</v>
      </c>
      <c r="G17" s="1">
        <v>17</v>
      </c>
      <c r="H17" s="1">
        <v>5.4</v>
      </c>
      <c r="I17" s="1">
        <v>22.4</v>
      </c>
      <c r="J17" s="1">
        <v>32.9</v>
      </c>
      <c r="K17" s="1">
        <v>11.2</v>
      </c>
      <c r="L17" s="1">
        <v>11.2</v>
      </c>
      <c r="M17" s="1">
        <v>0</v>
      </c>
      <c r="N17" s="7">
        <f t="shared" si="0"/>
        <v>100.1</v>
      </c>
    </row>
    <row r="18" spans="1:15" x14ac:dyDescent="0.55000000000000004">
      <c r="A18" s="1">
        <v>2030</v>
      </c>
      <c r="B18" s="1" t="s">
        <v>24</v>
      </c>
      <c r="C18" s="1">
        <v>0</v>
      </c>
      <c r="D18" s="1">
        <v>0</v>
      </c>
      <c r="E18" s="1">
        <v>0</v>
      </c>
      <c r="F18" s="1">
        <v>0</v>
      </c>
      <c r="G18" s="1">
        <v>0</v>
      </c>
      <c r="H18" s="1">
        <v>0</v>
      </c>
      <c r="I18" s="1">
        <v>0</v>
      </c>
      <c r="J18" s="1">
        <v>60</v>
      </c>
      <c r="K18" s="1">
        <v>10</v>
      </c>
      <c r="M18" s="1">
        <v>30</v>
      </c>
      <c r="N18" s="7">
        <f>SUM(C18:M18)</f>
        <v>100</v>
      </c>
    </row>
    <row r="19" spans="1:15" x14ac:dyDescent="0.55000000000000004">
      <c r="B19" s="1" t="s">
        <v>25</v>
      </c>
      <c r="C19" s="1">
        <v>0</v>
      </c>
      <c r="D19" s="1">
        <v>0</v>
      </c>
      <c r="E19" s="1">
        <v>0</v>
      </c>
      <c r="F19" s="1">
        <v>0</v>
      </c>
      <c r="G19" s="1">
        <v>0</v>
      </c>
      <c r="H19" s="1">
        <v>0</v>
      </c>
      <c r="I19" s="1">
        <v>0</v>
      </c>
      <c r="J19" s="1">
        <v>60</v>
      </c>
      <c r="K19" s="1">
        <v>20</v>
      </c>
      <c r="L19" s="1">
        <v>20</v>
      </c>
      <c r="M19" s="1">
        <v>0</v>
      </c>
      <c r="N19" s="7">
        <f>SUM(C19:M19)</f>
        <v>100</v>
      </c>
    </row>
    <row r="20" spans="1:15" x14ac:dyDescent="0.55000000000000004">
      <c r="C20" s="1" t="s">
        <v>18</v>
      </c>
      <c r="M20" s="5"/>
    </row>
    <row r="21" spans="1:15" x14ac:dyDescent="0.55000000000000004">
      <c r="C21" s="1" t="s">
        <v>19</v>
      </c>
    </row>
    <row r="22" spans="1:15" x14ac:dyDescent="0.55000000000000004">
      <c r="C22" s="1" t="s">
        <v>21</v>
      </c>
    </row>
    <row r="23" spans="1:15" x14ac:dyDescent="0.55000000000000004">
      <c r="C23" s="1" t="s">
        <v>20</v>
      </c>
    </row>
    <row r="24" spans="1:15" x14ac:dyDescent="0.55000000000000004">
      <c r="A24" s="4" t="s">
        <v>11</v>
      </c>
      <c r="N24" s="1" t="s">
        <v>147</v>
      </c>
      <c r="O24" s="1" t="s">
        <v>73</v>
      </c>
    </row>
    <row r="25" spans="1:15" x14ac:dyDescent="0.55000000000000004">
      <c r="B25" s="1" t="s">
        <v>24</v>
      </c>
      <c r="C25" s="1">
        <v>363</v>
      </c>
      <c r="D25" s="1">
        <v>1031</v>
      </c>
      <c r="E25" s="1">
        <v>515</v>
      </c>
      <c r="F25" s="1">
        <v>86</v>
      </c>
      <c r="G25" s="1">
        <v>246</v>
      </c>
      <c r="H25" s="1">
        <v>53</v>
      </c>
      <c r="I25" s="1">
        <v>202</v>
      </c>
      <c r="J25" s="1">
        <v>157</v>
      </c>
      <c r="K25" s="1">
        <v>36</v>
      </c>
      <c r="L25" s="1">
        <v>0</v>
      </c>
      <c r="M25" s="1">
        <v>103</v>
      </c>
      <c r="N25" s="1">
        <f>SUM(C25:M25)</f>
        <v>2792</v>
      </c>
      <c r="O25" s="1">
        <f>N25-N6</f>
        <v>-257</v>
      </c>
    </row>
    <row r="26" spans="1:15" x14ac:dyDescent="0.55000000000000004">
      <c r="B26" s="1" t="s">
        <v>25</v>
      </c>
      <c r="C26" s="1">
        <v>166</v>
      </c>
      <c r="D26" s="1">
        <v>863</v>
      </c>
      <c r="E26" s="1">
        <v>629</v>
      </c>
      <c r="F26" s="1">
        <v>95</v>
      </c>
      <c r="G26" s="1">
        <v>256</v>
      </c>
      <c r="H26" s="1">
        <v>87</v>
      </c>
      <c r="I26" s="1">
        <v>172</v>
      </c>
      <c r="J26" s="1">
        <v>156</v>
      </c>
      <c r="K26" s="1">
        <v>53</v>
      </c>
      <c r="L26" s="1">
        <v>53</v>
      </c>
      <c r="M26" s="1">
        <v>0</v>
      </c>
      <c r="N26" s="1">
        <f>SUM(C26:M26)</f>
        <v>2530</v>
      </c>
      <c r="O26" s="1">
        <f>N26-N7</f>
        <v>368</v>
      </c>
    </row>
    <row r="27" spans="1:15" x14ac:dyDescent="0.55000000000000004">
      <c r="C27" s="1" t="s">
        <v>12</v>
      </c>
      <c r="N27" s="1">
        <f>SUM(N25:N26)</f>
        <v>5322</v>
      </c>
    </row>
    <row r="28" spans="1:15" x14ac:dyDescent="0.55000000000000004">
      <c r="C28" s="1" t="s">
        <v>13</v>
      </c>
    </row>
    <row r="29" spans="1:15" x14ac:dyDescent="0.55000000000000004">
      <c r="C29" s="1" t="s">
        <v>14</v>
      </c>
    </row>
    <row r="30" spans="1:15" x14ac:dyDescent="0.55000000000000004">
      <c r="A30" s="4" t="s">
        <v>57</v>
      </c>
    </row>
    <row r="31" spans="1:15" x14ac:dyDescent="0.55000000000000004">
      <c r="A31" s="1">
        <v>2013</v>
      </c>
      <c r="B31" s="1" t="s">
        <v>22</v>
      </c>
      <c r="C31" s="1">
        <v>0</v>
      </c>
      <c r="D31" s="1">
        <v>18</v>
      </c>
      <c r="E31" s="1">
        <v>39</v>
      </c>
      <c r="F31" s="1">
        <v>0</v>
      </c>
      <c r="G31" s="1">
        <v>33.299999999999997</v>
      </c>
      <c r="H31" s="1">
        <v>4</v>
      </c>
      <c r="I31" s="1">
        <v>5.7</v>
      </c>
      <c r="J31" s="1">
        <v>0</v>
      </c>
      <c r="K31" s="1">
        <v>0</v>
      </c>
      <c r="L31" s="1">
        <v>0</v>
      </c>
      <c r="M31" s="1">
        <v>0</v>
      </c>
    </row>
    <row r="32" spans="1:15" x14ac:dyDescent="0.55000000000000004">
      <c r="B32" s="1" t="s">
        <v>23</v>
      </c>
      <c r="C32" s="1">
        <f>C31</f>
        <v>0</v>
      </c>
      <c r="D32" s="1">
        <f t="shared" ref="D32:M32" si="1">D31</f>
        <v>18</v>
      </c>
      <c r="E32" s="1">
        <f t="shared" si="1"/>
        <v>39</v>
      </c>
      <c r="F32" s="1">
        <f t="shared" si="1"/>
        <v>0</v>
      </c>
      <c r="G32" s="1">
        <f t="shared" si="1"/>
        <v>33.299999999999997</v>
      </c>
      <c r="H32" s="1">
        <f t="shared" si="1"/>
        <v>4</v>
      </c>
      <c r="I32" s="1">
        <f t="shared" si="1"/>
        <v>5.7</v>
      </c>
      <c r="J32" s="1">
        <f t="shared" si="1"/>
        <v>0</v>
      </c>
      <c r="K32" s="1">
        <f t="shared" si="1"/>
        <v>0</v>
      </c>
      <c r="L32" s="1">
        <f t="shared" si="1"/>
        <v>0</v>
      </c>
      <c r="M32" s="1">
        <f t="shared" si="1"/>
        <v>0</v>
      </c>
    </row>
    <row r="33" spans="1:14" x14ac:dyDescent="0.55000000000000004">
      <c r="A33" s="1">
        <v>2019</v>
      </c>
      <c r="B33" s="1" t="s">
        <v>22</v>
      </c>
      <c r="C33" s="1">
        <v>0</v>
      </c>
      <c r="D33" s="1">
        <v>18</v>
      </c>
      <c r="E33" s="1">
        <v>39</v>
      </c>
      <c r="F33" s="1">
        <v>0</v>
      </c>
      <c r="G33" s="1">
        <v>33.299999999999997</v>
      </c>
      <c r="H33" s="1">
        <v>4</v>
      </c>
      <c r="I33" s="1">
        <v>5.7</v>
      </c>
      <c r="J33" s="1">
        <v>0</v>
      </c>
      <c r="K33" s="1">
        <v>0</v>
      </c>
      <c r="L33" s="1">
        <v>0</v>
      </c>
      <c r="M33" s="1">
        <v>0</v>
      </c>
    </row>
    <row r="34" spans="1:14" x14ac:dyDescent="0.55000000000000004">
      <c r="B34" s="1" t="s">
        <v>23</v>
      </c>
      <c r="C34" s="1">
        <f t="shared" ref="C34:M34" si="2">C33</f>
        <v>0</v>
      </c>
      <c r="D34" s="1">
        <f t="shared" si="2"/>
        <v>18</v>
      </c>
      <c r="E34" s="1">
        <f t="shared" si="2"/>
        <v>39</v>
      </c>
      <c r="F34" s="1">
        <f t="shared" si="2"/>
        <v>0</v>
      </c>
      <c r="G34" s="1">
        <f t="shared" si="2"/>
        <v>33.299999999999997</v>
      </c>
      <c r="H34" s="1">
        <f t="shared" si="2"/>
        <v>4</v>
      </c>
      <c r="I34" s="1">
        <f t="shared" si="2"/>
        <v>5.7</v>
      </c>
      <c r="J34" s="1">
        <f t="shared" si="2"/>
        <v>0</v>
      </c>
      <c r="K34" s="1">
        <f t="shared" si="2"/>
        <v>0</v>
      </c>
      <c r="L34" s="1">
        <f t="shared" si="2"/>
        <v>0</v>
      </c>
      <c r="M34" s="1">
        <f t="shared" si="2"/>
        <v>0</v>
      </c>
    </row>
    <row r="35" spans="1:14" x14ac:dyDescent="0.55000000000000004">
      <c r="A35" s="1">
        <v>2020</v>
      </c>
      <c r="B35" s="1" t="s">
        <v>22</v>
      </c>
      <c r="C35" s="1">
        <v>0</v>
      </c>
      <c r="D35" s="1">
        <v>18</v>
      </c>
      <c r="E35" s="1">
        <v>39</v>
      </c>
      <c r="F35" s="1">
        <v>0</v>
      </c>
      <c r="G35" s="1">
        <v>33.299999999999997</v>
      </c>
      <c r="H35" s="1">
        <v>4</v>
      </c>
      <c r="I35" s="1">
        <v>5.7</v>
      </c>
      <c r="J35" s="1">
        <v>0</v>
      </c>
      <c r="K35" s="1">
        <v>0</v>
      </c>
      <c r="L35" s="1">
        <v>0</v>
      </c>
      <c r="M35" s="1">
        <v>0</v>
      </c>
    </row>
    <row r="36" spans="1:14" x14ac:dyDescent="0.55000000000000004">
      <c r="B36" s="1" t="s">
        <v>23</v>
      </c>
      <c r="C36" s="1">
        <f t="shared" ref="C36:M36" si="3">C35</f>
        <v>0</v>
      </c>
      <c r="D36" s="1">
        <f t="shared" si="3"/>
        <v>18</v>
      </c>
      <c r="E36" s="1">
        <f t="shared" si="3"/>
        <v>39</v>
      </c>
      <c r="F36" s="1">
        <f t="shared" si="3"/>
        <v>0</v>
      </c>
      <c r="G36" s="1">
        <f t="shared" si="3"/>
        <v>33.299999999999997</v>
      </c>
      <c r="H36" s="1">
        <f t="shared" si="3"/>
        <v>4</v>
      </c>
      <c r="I36" s="1">
        <f t="shared" si="3"/>
        <v>5.7</v>
      </c>
      <c r="J36" s="1">
        <f t="shared" si="3"/>
        <v>0</v>
      </c>
      <c r="K36" s="1">
        <f t="shared" si="3"/>
        <v>0</v>
      </c>
      <c r="L36" s="1">
        <f t="shared" si="3"/>
        <v>0</v>
      </c>
      <c r="M36" s="1">
        <f t="shared" si="3"/>
        <v>0</v>
      </c>
    </row>
    <row r="37" spans="1:14" x14ac:dyDescent="0.55000000000000004">
      <c r="A37" s="1">
        <v>2025</v>
      </c>
      <c r="B37" s="1" t="s">
        <v>22</v>
      </c>
      <c r="C37" s="1">
        <v>0</v>
      </c>
      <c r="D37" s="1">
        <v>18</v>
      </c>
      <c r="E37" s="1">
        <v>39</v>
      </c>
      <c r="F37" s="1">
        <v>0</v>
      </c>
      <c r="G37" s="1">
        <v>33.299999999999997</v>
      </c>
      <c r="H37" s="1">
        <v>4</v>
      </c>
      <c r="I37" s="1">
        <v>5.7</v>
      </c>
      <c r="J37" s="1">
        <v>0</v>
      </c>
      <c r="K37" s="1">
        <v>0</v>
      </c>
      <c r="L37" s="1">
        <v>0</v>
      </c>
      <c r="M37" s="1">
        <v>0</v>
      </c>
    </row>
    <row r="38" spans="1:14" x14ac:dyDescent="0.55000000000000004">
      <c r="B38" s="1" t="s">
        <v>23</v>
      </c>
      <c r="C38" s="1">
        <f t="shared" ref="C38:M38" si="4">C37</f>
        <v>0</v>
      </c>
      <c r="D38" s="1">
        <f t="shared" si="4"/>
        <v>18</v>
      </c>
      <c r="E38" s="1">
        <f t="shared" si="4"/>
        <v>39</v>
      </c>
      <c r="F38" s="1">
        <f t="shared" si="4"/>
        <v>0</v>
      </c>
      <c r="G38" s="1">
        <f t="shared" si="4"/>
        <v>33.299999999999997</v>
      </c>
      <c r="H38" s="1">
        <f t="shared" si="4"/>
        <v>4</v>
      </c>
      <c r="I38" s="1">
        <f t="shared" si="4"/>
        <v>5.7</v>
      </c>
      <c r="J38" s="1">
        <f t="shared" si="4"/>
        <v>0</v>
      </c>
      <c r="K38" s="1">
        <f t="shared" si="4"/>
        <v>0</v>
      </c>
      <c r="L38" s="1">
        <f t="shared" si="4"/>
        <v>0</v>
      </c>
      <c r="M38" s="1">
        <f t="shared" si="4"/>
        <v>0</v>
      </c>
    </row>
    <row r="39" spans="1:14" x14ac:dyDescent="0.55000000000000004">
      <c r="A39" s="1">
        <v>2030</v>
      </c>
      <c r="B39" s="1" t="s">
        <v>22</v>
      </c>
      <c r="C39" s="1">
        <v>0</v>
      </c>
      <c r="D39" s="1">
        <v>18</v>
      </c>
      <c r="E39" s="1">
        <v>39</v>
      </c>
      <c r="F39" s="1">
        <v>0</v>
      </c>
      <c r="G39" s="1">
        <v>33.299999999999997</v>
      </c>
      <c r="H39" s="1">
        <v>4</v>
      </c>
      <c r="I39" s="1">
        <v>5.7</v>
      </c>
      <c r="J39" s="1">
        <v>0</v>
      </c>
      <c r="K39" s="1">
        <v>0</v>
      </c>
      <c r="L39" s="1">
        <v>0</v>
      </c>
      <c r="M39" s="1">
        <v>0</v>
      </c>
    </row>
    <row r="40" spans="1:14" x14ac:dyDescent="0.55000000000000004">
      <c r="B40" s="1" t="s">
        <v>23</v>
      </c>
      <c r="C40" s="1">
        <f t="shared" ref="C40:M40" si="5">C39</f>
        <v>0</v>
      </c>
      <c r="D40" s="1">
        <f t="shared" si="5"/>
        <v>18</v>
      </c>
      <c r="E40" s="1">
        <f t="shared" si="5"/>
        <v>39</v>
      </c>
      <c r="F40" s="1">
        <f t="shared" si="5"/>
        <v>0</v>
      </c>
      <c r="G40" s="1">
        <f t="shared" si="5"/>
        <v>33.299999999999997</v>
      </c>
      <c r="H40" s="1">
        <f t="shared" si="5"/>
        <v>4</v>
      </c>
      <c r="I40" s="1">
        <f t="shared" si="5"/>
        <v>5.7</v>
      </c>
      <c r="J40" s="1">
        <f t="shared" si="5"/>
        <v>0</v>
      </c>
      <c r="K40" s="1">
        <f t="shared" si="5"/>
        <v>0</v>
      </c>
      <c r="L40" s="1">
        <f t="shared" si="5"/>
        <v>0</v>
      </c>
      <c r="M40" s="1">
        <f t="shared" si="5"/>
        <v>0</v>
      </c>
    </row>
    <row r="41" spans="1:14" x14ac:dyDescent="0.55000000000000004">
      <c r="A41" s="4" t="s">
        <v>15</v>
      </c>
      <c r="N41" s="1" t="s">
        <v>147</v>
      </c>
    </row>
    <row r="42" spans="1:14" x14ac:dyDescent="0.55000000000000004">
      <c r="B42" s="1" t="s">
        <v>22</v>
      </c>
      <c r="C42" s="1">
        <v>506</v>
      </c>
      <c r="D42" s="1">
        <v>1141</v>
      </c>
      <c r="E42" s="1">
        <v>729</v>
      </c>
      <c r="F42" s="1">
        <v>87</v>
      </c>
      <c r="G42" s="1">
        <v>270</v>
      </c>
      <c r="H42" s="1">
        <v>32</v>
      </c>
      <c r="I42" s="1">
        <v>46</v>
      </c>
      <c r="J42" s="1">
        <v>0</v>
      </c>
      <c r="K42" s="1">
        <v>0</v>
      </c>
      <c r="L42" s="1">
        <v>0</v>
      </c>
      <c r="M42" s="1">
        <v>0</v>
      </c>
      <c r="N42" s="1">
        <f>SUM(C42:M42)</f>
        <v>2811</v>
      </c>
    </row>
    <row r="43" spans="1:14" x14ac:dyDescent="0.55000000000000004">
      <c r="B43" s="1" t="s">
        <v>23</v>
      </c>
      <c r="C43" s="1">
        <v>224</v>
      </c>
      <c r="D43" s="3">
        <v>1015</v>
      </c>
      <c r="E43" s="1">
        <v>779</v>
      </c>
      <c r="F43" s="1">
        <v>95</v>
      </c>
      <c r="G43" s="1">
        <v>308</v>
      </c>
      <c r="H43" s="1">
        <v>37</v>
      </c>
      <c r="I43" s="1">
        <v>53</v>
      </c>
      <c r="J43" s="1">
        <v>0</v>
      </c>
      <c r="K43" s="1">
        <v>0</v>
      </c>
      <c r="L43" s="1">
        <v>0</v>
      </c>
      <c r="M43" s="1">
        <v>0</v>
      </c>
      <c r="N43" s="1">
        <f>SUM(C43:M43)</f>
        <v>2511</v>
      </c>
    </row>
    <row r="44" spans="1:14" x14ac:dyDescent="0.55000000000000004">
      <c r="B44" s="1" t="s">
        <v>16</v>
      </c>
      <c r="N44" s="1">
        <f>SUM(N42:N43)</f>
        <v>5322</v>
      </c>
    </row>
  </sheetData>
  <sheetProtection algorithmName="SHA-512" hashValue="Pf4YJDcRqHrOx3nd66EXF3fqLaikmpC+MBxotkjriQbB0rrg4rMUu1pGA+4rtto7xT9zbeKXddoCKqUk4CrZVQ==" saltValue="LM+6wwVGAGOy9oA7rgyZrw==" spinCount="100000" sheet="1" objects="1" scenarios="1"/>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A063E-FBA5-4458-ADBE-B9BED99AB1E2}">
  <dimension ref="A1:E18"/>
  <sheetViews>
    <sheetView topLeftCell="B19" workbookViewId="0">
      <selection activeCell="N33" sqref="N33"/>
    </sheetView>
  </sheetViews>
  <sheetFormatPr defaultRowHeight="15" x14ac:dyDescent="0.55000000000000004"/>
  <cols>
    <col min="1" max="16384" width="8.6640625" style="1"/>
  </cols>
  <sheetData>
    <row r="1" spans="1:5" x14ac:dyDescent="0.55000000000000004">
      <c r="A1" s="1" t="s">
        <v>586</v>
      </c>
    </row>
    <row r="3" spans="1:5" x14ac:dyDescent="0.55000000000000004">
      <c r="A3" s="1" t="s">
        <v>587</v>
      </c>
    </row>
    <row r="4" spans="1:5" x14ac:dyDescent="0.55000000000000004">
      <c r="B4" s="1" t="s">
        <v>181</v>
      </c>
      <c r="C4" s="1" t="s">
        <v>588</v>
      </c>
      <c r="D4" s="1" t="s">
        <v>589</v>
      </c>
    </row>
    <row r="5" spans="1:5" x14ac:dyDescent="0.55000000000000004">
      <c r="B5" s="1">
        <v>0.87</v>
      </c>
      <c r="C5" s="1">
        <v>2.8</v>
      </c>
      <c r="D5" s="1">
        <v>4.3</v>
      </c>
    </row>
    <row r="6" spans="1:5" x14ac:dyDescent="0.55000000000000004">
      <c r="B6" s="1">
        <v>0.6</v>
      </c>
      <c r="C6" s="1">
        <v>1.4</v>
      </c>
      <c r="D6" s="1">
        <v>2.8</v>
      </c>
    </row>
    <row r="7" spans="1:5" x14ac:dyDescent="0.55000000000000004">
      <c r="B7" s="1">
        <v>0.56000000000000005</v>
      </c>
      <c r="C7" s="1">
        <v>1.4</v>
      </c>
      <c r="D7" s="1">
        <v>2.5</v>
      </c>
    </row>
    <row r="8" spans="1:5" x14ac:dyDescent="0.55000000000000004">
      <c r="B8" s="1">
        <v>0.51</v>
      </c>
      <c r="C8" s="1">
        <v>1.4</v>
      </c>
      <c r="D8" s="1">
        <v>2.4</v>
      </c>
    </row>
    <row r="9" spans="1:5" x14ac:dyDescent="0.55000000000000004">
      <c r="B9" s="1">
        <v>0.46</v>
      </c>
      <c r="C9" s="1">
        <v>1.3</v>
      </c>
      <c r="D9" s="1">
        <v>2.4</v>
      </c>
    </row>
    <row r="10" spans="1:5" x14ac:dyDescent="0.55000000000000004">
      <c r="B10" s="1">
        <v>0.23</v>
      </c>
      <c r="C10" s="1">
        <v>1</v>
      </c>
      <c r="D10" s="1">
        <v>1.8</v>
      </c>
    </row>
    <row r="11" spans="1:5" x14ac:dyDescent="0.55000000000000004">
      <c r="A11" s="1" t="s">
        <v>590</v>
      </c>
    </row>
    <row r="12" spans="1:5" x14ac:dyDescent="0.55000000000000004">
      <c r="B12" s="1">
        <v>0.03</v>
      </c>
    </row>
    <row r="13" spans="1:5" x14ac:dyDescent="0.55000000000000004">
      <c r="A13" s="1" t="s">
        <v>591</v>
      </c>
    </row>
    <row r="14" spans="1:5" x14ac:dyDescent="0.55000000000000004">
      <c r="B14" s="1" t="s">
        <v>592</v>
      </c>
      <c r="E14" s="1" t="s">
        <v>593</v>
      </c>
    </row>
    <row r="15" spans="1:5" x14ac:dyDescent="0.55000000000000004">
      <c r="B15" s="1" t="s">
        <v>594</v>
      </c>
      <c r="E15" s="1" t="s">
        <v>595</v>
      </c>
    </row>
    <row r="16" spans="1:5" x14ac:dyDescent="0.55000000000000004">
      <c r="B16" s="1" t="s">
        <v>596</v>
      </c>
      <c r="E16" s="118">
        <v>0.85</v>
      </c>
    </row>
    <row r="17" spans="2:5" x14ac:dyDescent="0.55000000000000004">
      <c r="B17" s="1" t="s">
        <v>597</v>
      </c>
      <c r="E17" s="1">
        <v>0.9</v>
      </c>
    </row>
    <row r="18" spans="2:5" x14ac:dyDescent="0.55000000000000004">
      <c r="B18" s="1" t="s">
        <v>598</v>
      </c>
      <c r="E18" s="1">
        <v>1</v>
      </c>
    </row>
  </sheetData>
  <phoneticPr fontId="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635D0-D596-4F0F-BFAA-8FFF4536526B}">
  <dimension ref="A2:R168"/>
  <sheetViews>
    <sheetView topLeftCell="A157" workbookViewId="0">
      <selection activeCell="F165" sqref="F165"/>
    </sheetView>
  </sheetViews>
  <sheetFormatPr defaultColWidth="8.58203125" defaultRowHeight="15" x14ac:dyDescent="0.55000000000000004"/>
  <cols>
    <col min="1" max="1" width="8.58203125" style="1"/>
    <col min="2" max="2" width="14.83203125" style="1" customWidth="1"/>
    <col min="3" max="16384" width="8.58203125" style="1"/>
  </cols>
  <sheetData>
    <row r="2" spans="1:18" x14ac:dyDescent="0.55000000000000004">
      <c r="C2" s="1" t="s">
        <v>41</v>
      </c>
      <c r="D2" s="1" t="s">
        <v>27</v>
      </c>
      <c r="E2" s="1" t="s">
        <v>28</v>
      </c>
      <c r="F2" s="1" t="s">
        <v>29</v>
      </c>
      <c r="G2" s="1" t="s">
        <v>30</v>
      </c>
      <c r="H2" s="1" t="s">
        <v>39</v>
      </c>
      <c r="I2" s="1" t="s">
        <v>31</v>
      </c>
      <c r="J2" s="1" t="s">
        <v>32</v>
      </c>
      <c r="K2" s="1" t="s">
        <v>33</v>
      </c>
      <c r="L2" s="1" t="s">
        <v>43</v>
      </c>
      <c r="M2" s="1" t="s">
        <v>34</v>
      </c>
    </row>
    <row r="3" spans="1:18" x14ac:dyDescent="0.55000000000000004">
      <c r="B3" s="1" t="s">
        <v>22</v>
      </c>
      <c r="C3" s="1">
        <v>134.4</v>
      </c>
      <c r="D3" s="1">
        <v>93.1</v>
      </c>
      <c r="E3" s="1">
        <v>90</v>
      </c>
      <c r="F3" s="1">
        <v>80.7</v>
      </c>
      <c r="G3" s="1">
        <v>80.7</v>
      </c>
      <c r="H3" s="1">
        <v>74.8</v>
      </c>
      <c r="I3" s="1">
        <v>71.8</v>
      </c>
      <c r="J3" s="1">
        <v>68.8</v>
      </c>
      <c r="K3" s="1">
        <v>65.8</v>
      </c>
      <c r="L3" s="1">
        <v>0</v>
      </c>
      <c r="M3" s="1">
        <v>59.9</v>
      </c>
    </row>
    <row r="4" spans="1:18" x14ac:dyDescent="0.55000000000000004">
      <c r="B4" s="1" t="s">
        <v>160</v>
      </c>
      <c r="C4" s="1">
        <v>8.3000000000000007</v>
      </c>
      <c r="D4" s="1">
        <v>5.2</v>
      </c>
      <c r="E4" s="1">
        <v>4.2</v>
      </c>
      <c r="G4" s="1">
        <v>2.7</v>
      </c>
    </row>
    <row r="5" spans="1:18" x14ac:dyDescent="0.55000000000000004">
      <c r="B5" s="1" t="s">
        <v>163</v>
      </c>
      <c r="C5" s="1">
        <f>(C4*120.07-$Q$5)/307.9</f>
        <v>3.0548262422864569</v>
      </c>
      <c r="D5" s="1">
        <f>(D4*120.07-$Q$5)/307.9</f>
        <v>1.8459369925300424</v>
      </c>
      <c r="E5" s="1">
        <f>(E4*120.07-$Q$5)/307.9</f>
        <v>1.4559727184150699</v>
      </c>
      <c r="G5" s="1">
        <f>(G4*120.07-$Q$5)/307.9</f>
        <v>0.87102630724261132</v>
      </c>
      <c r="H5" s="1">
        <v>0.6</v>
      </c>
      <c r="N5" s="1" t="s">
        <v>161</v>
      </c>
      <c r="O5" s="1">
        <v>320</v>
      </c>
      <c r="P5" s="1">
        <v>0.5</v>
      </c>
      <c r="Q5" s="1">
        <f>0.35*O5*P5</f>
        <v>56</v>
      </c>
      <c r="R5" s="1" t="s">
        <v>162</v>
      </c>
    </row>
    <row r="6" spans="1:18" x14ac:dyDescent="0.55000000000000004">
      <c r="A6" s="24" t="s">
        <v>164</v>
      </c>
      <c r="B6" s="1" t="s">
        <v>163</v>
      </c>
      <c r="C6" s="24">
        <v>3.01</v>
      </c>
      <c r="D6" s="24">
        <v>1.82</v>
      </c>
      <c r="E6" s="24">
        <v>1.44</v>
      </c>
      <c r="G6" s="1">
        <v>0.87</v>
      </c>
      <c r="H6" s="24">
        <v>0.6</v>
      </c>
    </row>
    <row r="7" spans="1:18" x14ac:dyDescent="0.55000000000000004">
      <c r="B7" s="1" t="s">
        <v>165</v>
      </c>
      <c r="C7" s="24">
        <v>6.3</v>
      </c>
      <c r="D7" s="24">
        <v>3.5</v>
      </c>
      <c r="E7" s="24">
        <v>3</v>
      </c>
      <c r="G7" s="1">
        <v>2.8</v>
      </c>
      <c r="H7" s="24">
        <v>1.4</v>
      </c>
    </row>
    <row r="8" spans="1:18" x14ac:dyDescent="0.55000000000000004">
      <c r="B8" s="1" t="s">
        <v>166</v>
      </c>
      <c r="C8" s="24">
        <v>8.5</v>
      </c>
      <c r="D8" s="24">
        <v>5.3</v>
      </c>
      <c r="E8" s="24">
        <v>4.9000000000000004</v>
      </c>
      <c r="G8" s="1">
        <v>4.3</v>
      </c>
      <c r="H8" s="24">
        <v>2.8</v>
      </c>
    </row>
    <row r="9" spans="1:18" x14ac:dyDescent="0.55000000000000004">
      <c r="A9" s="1" t="s">
        <v>172</v>
      </c>
      <c r="C9" s="24"/>
      <c r="D9" s="24"/>
      <c r="E9" s="24"/>
      <c r="H9" s="24"/>
    </row>
    <row r="10" spans="1:18" x14ac:dyDescent="0.55000000000000004">
      <c r="B10" s="1" t="s">
        <v>167</v>
      </c>
      <c r="C10" s="1">
        <v>65564</v>
      </c>
      <c r="D10" s="1">
        <v>31252</v>
      </c>
      <c r="E10" s="25">
        <v>22547</v>
      </c>
      <c r="G10" s="1">
        <v>13383</v>
      </c>
      <c r="H10" s="1">
        <v>12475</v>
      </c>
    </row>
    <row r="11" spans="1:18" x14ac:dyDescent="0.55000000000000004">
      <c r="B11" s="1" t="s">
        <v>168</v>
      </c>
      <c r="C11" s="1">
        <v>7383</v>
      </c>
      <c r="D11" s="1">
        <v>4987</v>
      </c>
      <c r="E11" s="1">
        <v>4959</v>
      </c>
      <c r="G11" s="1">
        <v>5634</v>
      </c>
      <c r="H11" s="1">
        <v>4441</v>
      </c>
    </row>
    <row r="12" spans="1:18" x14ac:dyDescent="0.55000000000000004">
      <c r="B12" s="1" t="s">
        <v>26</v>
      </c>
      <c r="C12" s="1">
        <f>SUM(C10:C11)</f>
        <v>72947</v>
      </c>
      <c r="D12" s="1">
        <f>SUM(D10:D11)</f>
        <v>36239</v>
      </c>
      <c r="E12" s="1">
        <f>SUM(E10:E11)</f>
        <v>27506</v>
      </c>
      <c r="G12" s="1">
        <f>SUM(G10:G11)</f>
        <v>19017</v>
      </c>
      <c r="H12" s="1">
        <f>SUM(H10:H11)</f>
        <v>16916</v>
      </c>
    </row>
    <row r="13" spans="1:18" x14ac:dyDescent="0.55000000000000004">
      <c r="B13" s="1" t="s">
        <v>4</v>
      </c>
      <c r="C13" s="1">
        <f>G10+G11</f>
        <v>19017</v>
      </c>
      <c r="D13" s="1">
        <v>19017</v>
      </c>
      <c r="E13" s="1">
        <v>19017</v>
      </c>
      <c r="G13" s="1">
        <v>19017</v>
      </c>
      <c r="H13" s="1">
        <v>19017</v>
      </c>
    </row>
    <row r="14" spans="1:18" x14ac:dyDescent="0.55000000000000004">
      <c r="B14" s="1" t="s">
        <v>42</v>
      </c>
      <c r="C14" s="1">
        <f>C12-C13</f>
        <v>53930</v>
      </c>
      <c r="D14" s="1">
        <f>D12-D13</f>
        <v>17222</v>
      </c>
      <c r="E14" s="1">
        <f>E12-E13</f>
        <v>8489</v>
      </c>
      <c r="G14" s="1">
        <f>G12-G13</f>
        <v>0</v>
      </c>
      <c r="H14" s="1">
        <f>H12-H13</f>
        <v>-2101</v>
      </c>
    </row>
    <row r="15" spans="1:18" x14ac:dyDescent="0.55000000000000004">
      <c r="B15" s="1" t="s">
        <v>173</v>
      </c>
      <c r="C15" s="1">
        <f>(C3-$G$3)*1000</f>
        <v>53700</v>
      </c>
      <c r="D15" s="1">
        <f t="shared" ref="D15:M15" si="0">(D3-$G$3)*1000</f>
        <v>12399.999999999991</v>
      </c>
      <c r="E15" s="1">
        <f t="shared" si="0"/>
        <v>9299.9999999999964</v>
      </c>
      <c r="G15" s="1">
        <f t="shared" si="0"/>
        <v>0</v>
      </c>
      <c r="H15" s="1">
        <f t="shared" si="0"/>
        <v>-5900.0000000000055</v>
      </c>
      <c r="I15" s="1">
        <f t="shared" si="0"/>
        <v>-8900.0000000000055</v>
      </c>
      <c r="J15" s="1">
        <f t="shared" si="0"/>
        <v>-11900.000000000005</v>
      </c>
      <c r="K15" s="1">
        <f t="shared" si="0"/>
        <v>-14900.000000000005</v>
      </c>
      <c r="L15" s="1">
        <f t="shared" si="0"/>
        <v>-80700</v>
      </c>
      <c r="M15" s="1">
        <f t="shared" si="0"/>
        <v>-20800.000000000004</v>
      </c>
    </row>
    <row r="16" spans="1:18" x14ac:dyDescent="0.55000000000000004">
      <c r="B16" s="5" t="s">
        <v>174</v>
      </c>
    </row>
    <row r="18" spans="1:13" x14ac:dyDescent="0.55000000000000004">
      <c r="A18" s="4" t="s">
        <v>175</v>
      </c>
    </row>
    <row r="19" spans="1:13" x14ac:dyDescent="0.55000000000000004">
      <c r="I19" s="1" t="s">
        <v>233</v>
      </c>
      <c r="J19" s="1" t="s">
        <v>4</v>
      </c>
      <c r="K19" s="1" t="s">
        <v>42</v>
      </c>
    </row>
    <row r="20" spans="1:13" x14ac:dyDescent="0.55000000000000004">
      <c r="B20" s="1" t="s">
        <v>169</v>
      </c>
      <c r="C20" s="1" t="s">
        <v>176</v>
      </c>
      <c r="D20" s="1" t="s">
        <v>177</v>
      </c>
      <c r="I20" s="1">
        <v>924</v>
      </c>
      <c r="J20" s="1">
        <v>4542</v>
      </c>
      <c r="K20" s="1">
        <f>J20-I20</f>
        <v>3618</v>
      </c>
    </row>
    <row r="21" spans="1:13" x14ac:dyDescent="0.55000000000000004">
      <c r="B21" s="1" t="s">
        <v>170</v>
      </c>
      <c r="C21" s="1" t="s">
        <v>178</v>
      </c>
      <c r="I21" s="1">
        <v>20417</v>
      </c>
      <c r="J21" s="1">
        <v>25091</v>
      </c>
      <c r="K21" s="1">
        <f>J21-I21</f>
        <v>4674</v>
      </c>
    </row>
    <row r="22" spans="1:13" x14ac:dyDescent="0.55000000000000004">
      <c r="B22" s="1" t="s">
        <v>171</v>
      </c>
      <c r="C22" s="1" t="s">
        <v>179</v>
      </c>
      <c r="I22" s="1">
        <v>6135</v>
      </c>
      <c r="J22" s="1">
        <v>10763</v>
      </c>
      <c r="K22" s="1">
        <f>J22-I22</f>
        <v>4628</v>
      </c>
    </row>
    <row r="23" spans="1:13" x14ac:dyDescent="0.55000000000000004">
      <c r="H23" s="1" t="s">
        <v>26</v>
      </c>
      <c r="I23" s="1">
        <f>SUM(I20:I22)</f>
        <v>27476</v>
      </c>
      <c r="J23" s="1">
        <f>SUM(J20:J22)</f>
        <v>40396</v>
      </c>
      <c r="K23" s="4">
        <f>J23-I23</f>
        <v>12920</v>
      </c>
    </row>
    <row r="24" spans="1:13" x14ac:dyDescent="0.55000000000000004">
      <c r="I24" s="5"/>
      <c r="K24" s="5" t="s">
        <v>185</v>
      </c>
    </row>
    <row r="25" spans="1:13" x14ac:dyDescent="0.55000000000000004">
      <c r="F25" s="1" t="s">
        <v>186</v>
      </c>
      <c r="H25" s="1">
        <f>H15*-1</f>
        <v>5900.0000000000055</v>
      </c>
      <c r="I25" s="1">
        <f>I15*-1+$H$14</f>
        <v>6799.0000000000055</v>
      </c>
      <c r="J25" s="1">
        <f>J15*-1+$H$14</f>
        <v>9799.0000000000055</v>
      </c>
      <c r="K25" s="4">
        <f>K15*-1+$H$14</f>
        <v>12799.000000000005</v>
      </c>
      <c r="M25" s="1">
        <f>M15*-1+$H$14</f>
        <v>18699.000000000004</v>
      </c>
    </row>
    <row r="26" spans="1:13" x14ac:dyDescent="0.55000000000000004">
      <c r="K26" s="5" t="s">
        <v>187</v>
      </c>
    </row>
    <row r="27" spans="1:13" x14ac:dyDescent="0.55000000000000004">
      <c r="K27" s="5"/>
    </row>
    <row r="28" spans="1:13" x14ac:dyDescent="0.55000000000000004">
      <c r="A28" s="4" t="s">
        <v>180</v>
      </c>
    </row>
    <row r="29" spans="1:13" x14ac:dyDescent="0.55000000000000004">
      <c r="B29" s="1" t="s">
        <v>163</v>
      </c>
      <c r="C29" s="1">
        <v>0.56000000000000005</v>
      </c>
      <c r="D29" s="1">
        <v>0.51</v>
      </c>
      <c r="E29" s="1">
        <v>0.46</v>
      </c>
    </row>
    <row r="30" spans="1:13" x14ac:dyDescent="0.55000000000000004">
      <c r="B30" s="24" t="s">
        <v>165</v>
      </c>
      <c r="C30" s="1">
        <v>1.4</v>
      </c>
      <c r="D30" s="1">
        <v>1.4</v>
      </c>
      <c r="E30" s="1">
        <v>1.3</v>
      </c>
      <c r="F30" s="170" t="s">
        <v>182</v>
      </c>
      <c r="G30" s="170"/>
    </row>
    <row r="31" spans="1:13" x14ac:dyDescent="0.55000000000000004">
      <c r="B31" s="26" t="s">
        <v>166</v>
      </c>
      <c r="C31" s="1">
        <v>2.5</v>
      </c>
      <c r="D31" s="1">
        <v>2.4</v>
      </c>
      <c r="E31" s="1">
        <v>2.4</v>
      </c>
      <c r="F31" s="170"/>
      <c r="G31" s="170"/>
    </row>
    <row r="32" spans="1:13" x14ac:dyDescent="0.55000000000000004">
      <c r="B32" s="1" t="s">
        <v>184</v>
      </c>
      <c r="C32" s="1">
        <v>65333</v>
      </c>
      <c r="D32" s="1">
        <v>64726</v>
      </c>
      <c r="E32" s="1">
        <v>63785</v>
      </c>
    </row>
    <row r="33" spans="1:15" x14ac:dyDescent="0.55000000000000004">
      <c r="B33" s="1" t="s">
        <v>188</v>
      </c>
      <c r="C33" s="1">
        <v>0.75</v>
      </c>
      <c r="D33" s="1">
        <v>0.75</v>
      </c>
      <c r="E33" s="1">
        <v>0.75</v>
      </c>
      <c r="F33" s="5" t="s">
        <v>189</v>
      </c>
      <c r="K33" s="1">
        <v>11346</v>
      </c>
    </row>
    <row r="34" spans="1:15" x14ac:dyDescent="0.55000000000000004">
      <c r="B34" s="24" t="s">
        <v>165</v>
      </c>
      <c r="C34" s="1">
        <v>1.2</v>
      </c>
      <c r="D34" s="1">
        <v>1.2</v>
      </c>
      <c r="E34" s="1">
        <v>1.1000000000000001</v>
      </c>
      <c r="F34" s="170" t="s">
        <v>183</v>
      </c>
      <c r="G34" s="170"/>
    </row>
    <row r="35" spans="1:15" x14ac:dyDescent="0.55000000000000004">
      <c r="B35" s="26" t="s">
        <v>166</v>
      </c>
      <c r="C35" s="1">
        <v>2</v>
      </c>
      <c r="D35" s="1">
        <v>1.8</v>
      </c>
      <c r="E35" s="1">
        <v>1.8</v>
      </c>
      <c r="F35" s="170"/>
      <c r="G35" s="170"/>
    </row>
    <row r="36" spans="1:15" x14ac:dyDescent="0.55000000000000004">
      <c r="B36" s="1" t="s">
        <v>184</v>
      </c>
      <c r="C36" s="1">
        <v>65888</v>
      </c>
      <c r="D36" s="1">
        <v>65444</v>
      </c>
      <c r="E36" s="1">
        <v>64559</v>
      </c>
    </row>
    <row r="38" spans="1:15" x14ac:dyDescent="0.55000000000000004">
      <c r="A38" s="4" t="s">
        <v>190</v>
      </c>
    </row>
    <row r="39" spans="1:15" x14ac:dyDescent="0.55000000000000004">
      <c r="C39" s="1" t="s">
        <v>163</v>
      </c>
      <c r="D39" s="1" t="s">
        <v>169</v>
      </c>
      <c r="E39" s="1" t="s">
        <v>170</v>
      </c>
      <c r="F39" s="1" t="s">
        <v>171</v>
      </c>
      <c r="G39" s="1" t="s">
        <v>167</v>
      </c>
      <c r="H39" s="1" t="s">
        <v>168</v>
      </c>
      <c r="I39" s="1" t="s">
        <v>170</v>
      </c>
      <c r="J39" s="1" t="s">
        <v>171</v>
      </c>
      <c r="K39" s="1" t="s">
        <v>234</v>
      </c>
      <c r="L39" s="1" t="s">
        <v>176</v>
      </c>
      <c r="M39" s="1" t="s">
        <v>26</v>
      </c>
      <c r="N39" s="1" t="s">
        <v>195</v>
      </c>
      <c r="O39" s="1" t="s">
        <v>26</v>
      </c>
    </row>
    <row r="40" spans="1:15" x14ac:dyDescent="0.55000000000000004">
      <c r="B40" s="1" t="s">
        <v>39</v>
      </c>
      <c r="C40" s="1">
        <v>0.6</v>
      </c>
      <c r="D40" s="1" t="s">
        <v>191</v>
      </c>
      <c r="E40" s="1" t="s">
        <v>192</v>
      </c>
      <c r="F40" s="1" t="s">
        <v>192</v>
      </c>
      <c r="G40" s="1">
        <f>H10</f>
        <v>12475</v>
      </c>
      <c r="H40" s="1">
        <f>H11</f>
        <v>4441</v>
      </c>
      <c r="I40" s="1">
        <f>I21</f>
        <v>20417</v>
      </c>
      <c r="J40" s="1">
        <f>I22</f>
        <v>6135</v>
      </c>
      <c r="K40" s="1">
        <v>21241</v>
      </c>
      <c r="L40" s="1">
        <f>I20</f>
        <v>924</v>
      </c>
      <c r="M40" s="1">
        <f>SUM(G40:L40)</f>
        <v>65633</v>
      </c>
      <c r="N40" s="1">
        <v>4834</v>
      </c>
      <c r="O40" s="1">
        <f>G40+H40+I40+J40+N40+K40</f>
        <v>69543</v>
      </c>
    </row>
    <row r="41" spans="1:15" x14ac:dyDescent="0.55000000000000004">
      <c r="B41" s="1">
        <v>74.8</v>
      </c>
      <c r="C41" s="1">
        <v>0.56000000000000005</v>
      </c>
      <c r="D41" s="1" t="s">
        <v>191</v>
      </c>
      <c r="E41" s="1" t="s">
        <v>192</v>
      </c>
      <c r="F41" s="1" t="s">
        <v>192</v>
      </c>
    </row>
    <row r="42" spans="1:15" x14ac:dyDescent="0.55000000000000004">
      <c r="B42" s="1" t="s">
        <v>6</v>
      </c>
      <c r="C42" s="1">
        <v>0.6</v>
      </c>
      <c r="D42" s="1" t="s">
        <v>193</v>
      </c>
      <c r="E42" s="1" t="s">
        <v>192</v>
      </c>
      <c r="F42" s="1" t="s">
        <v>192</v>
      </c>
    </row>
    <row r="43" spans="1:15" x14ac:dyDescent="0.55000000000000004">
      <c r="B43" s="1">
        <v>68.8</v>
      </c>
      <c r="C43" s="1">
        <v>0.56000000000000005</v>
      </c>
      <c r="D43" s="1" t="s">
        <v>191</v>
      </c>
      <c r="E43" s="1" t="s">
        <v>192</v>
      </c>
      <c r="F43" s="1" t="s">
        <v>192</v>
      </c>
      <c r="H43" s="1" t="s">
        <v>197</v>
      </c>
    </row>
    <row r="44" spans="1:15" x14ac:dyDescent="0.55000000000000004">
      <c r="B44" s="1" t="s">
        <v>8</v>
      </c>
      <c r="C44" s="1">
        <v>0.6</v>
      </c>
      <c r="D44" s="1" t="s">
        <v>195</v>
      </c>
      <c r="E44" s="22" t="s">
        <v>194</v>
      </c>
      <c r="F44" s="1" t="s">
        <v>192</v>
      </c>
      <c r="G44" s="1">
        <v>58009</v>
      </c>
      <c r="H44" s="1">
        <v>0.65</v>
      </c>
      <c r="I44" s="1" t="s">
        <v>196</v>
      </c>
    </row>
    <row r="45" spans="1:15" x14ac:dyDescent="0.55000000000000004">
      <c r="B45" s="1">
        <v>59.9</v>
      </c>
      <c r="C45" s="1">
        <v>0.56000000000000005</v>
      </c>
      <c r="D45" s="1" t="s">
        <v>195</v>
      </c>
      <c r="E45" s="22" t="s">
        <v>194</v>
      </c>
      <c r="F45" s="1" t="s">
        <v>192</v>
      </c>
      <c r="G45" s="1">
        <v>57942</v>
      </c>
      <c r="H45" s="1">
        <v>0.65</v>
      </c>
      <c r="I45" s="1">
        <v>0.6</v>
      </c>
      <c r="J45" s="1">
        <f>($G$3-21.2)*I45+21.2</f>
        <v>56.899999999999991</v>
      </c>
    </row>
    <row r="46" spans="1:15" x14ac:dyDescent="0.55000000000000004">
      <c r="C46" s="1">
        <v>0.51</v>
      </c>
      <c r="D46" s="1" t="s">
        <v>195</v>
      </c>
      <c r="E46" s="22" t="s">
        <v>194</v>
      </c>
      <c r="F46" s="1" t="s">
        <v>192</v>
      </c>
      <c r="G46" s="1">
        <v>57281</v>
      </c>
      <c r="H46" s="1">
        <v>0.65</v>
      </c>
      <c r="I46" s="1">
        <v>0.55000000000000004</v>
      </c>
      <c r="J46" s="1">
        <f>($G$3-21.2)*I46+21.2</f>
        <v>53.924999999999997</v>
      </c>
    </row>
    <row r="47" spans="1:15" x14ac:dyDescent="0.55000000000000004">
      <c r="C47" s="1">
        <v>0.46</v>
      </c>
      <c r="D47" s="1" t="s">
        <v>195</v>
      </c>
      <c r="E47" s="22" t="s">
        <v>194</v>
      </c>
      <c r="F47" s="1" t="s">
        <v>192</v>
      </c>
      <c r="G47" s="1">
        <v>56195</v>
      </c>
      <c r="H47" s="1">
        <v>0.6</v>
      </c>
    </row>
    <row r="48" spans="1:15" x14ac:dyDescent="0.55000000000000004">
      <c r="C48" s="1">
        <v>0.6</v>
      </c>
      <c r="D48" s="1" t="s">
        <v>176</v>
      </c>
      <c r="E48" s="22" t="s">
        <v>194</v>
      </c>
      <c r="F48" s="1" t="s">
        <v>192</v>
      </c>
      <c r="G48" s="1">
        <v>56562</v>
      </c>
      <c r="H48" s="1">
        <v>0.6</v>
      </c>
    </row>
    <row r="49" spans="1:8" x14ac:dyDescent="0.55000000000000004">
      <c r="C49" s="1">
        <v>0.56000000000000005</v>
      </c>
      <c r="D49" s="1" t="s">
        <v>176</v>
      </c>
      <c r="E49" s="22" t="s">
        <v>194</v>
      </c>
      <c r="F49" s="1" t="s">
        <v>192</v>
      </c>
      <c r="G49" s="1">
        <v>56262</v>
      </c>
      <c r="H49" s="1">
        <v>0.6</v>
      </c>
    </row>
    <row r="50" spans="1:8" x14ac:dyDescent="0.55000000000000004">
      <c r="C50" s="1">
        <v>0.51</v>
      </c>
      <c r="D50" s="1" t="s">
        <v>176</v>
      </c>
      <c r="E50" s="22" t="s">
        <v>194</v>
      </c>
      <c r="F50" s="1" t="s">
        <v>192</v>
      </c>
      <c r="G50" s="1">
        <v>55655</v>
      </c>
      <c r="H50" s="1">
        <v>0.6</v>
      </c>
    </row>
    <row r="51" spans="1:8" x14ac:dyDescent="0.55000000000000004">
      <c r="C51" s="1">
        <v>0.46</v>
      </c>
      <c r="D51" s="1" t="s">
        <v>176</v>
      </c>
      <c r="E51" s="22" t="s">
        <v>194</v>
      </c>
      <c r="F51" s="1" t="s">
        <v>192</v>
      </c>
      <c r="G51" s="1">
        <v>54714</v>
      </c>
      <c r="H51" s="1">
        <v>0.6</v>
      </c>
    </row>
    <row r="53" spans="1:8" x14ac:dyDescent="0.55000000000000004">
      <c r="A53" s="4" t="s">
        <v>198</v>
      </c>
    </row>
    <row r="54" spans="1:8" x14ac:dyDescent="0.55000000000000004">
      <c r="B54" s="1" t="s">
        <v>163</v>
      </c>
      <c r="C54" s="1">
        <v>0.87</v>
      </c>
      <c r="D54" s="1">
        <v>0.6</v>
      </c>
      <c r="E54" s="1">
        <v>0.56000000000000005</v>
      </c>
      <c r="F54" s="1">
        <v>0.51</v>
      </c>
      <c r="G54" s="1">
        <v>0.46</v>
      </c>
    </row>
    <row r="55" spans="1:8" x14ac:dyDescent="0.55000000000000004">
      <c r="B55" s="1" t="s">
        <v>167</v>
      </c>
      <c r="D55" s="1">
        <v>33884</v>
      </c>
      <c r="G55" s="1">
        <v>30472</v>
      </c>
    </row>
    <row r="56" spans="1:8" x14ac:dyDescent="0.55000000000000004">
      <c r="B56" s="1" t="s">
        <v>168</v>
      </c>
      <c r="D56" s="1">
        <v>12226</v>
      </c>
      <c r="G56" s="1">
        <v>12380</v>
      </c>
    </row>
    <row r="57" spans="1:8" x14ac:dyDescent="0.55000000000000004">
      <c r="B57" s="1" t="s">
        <v>225</v>
      </c>
      <c r="D57" s="1">
        <f>D55/1.6</f>
        <v>21177.5</v>
      </c>
      <c r="G57" s="1">
        <f>G55/1.6</f>
        <v>19045</v>
      </c>
    </row>
    <row r="58" spans="1:8" x14ac:dyDescent="0.55000000000000004">
      <c r="B58" s="1" t="s">
        <v>226</v>
      </c>
      <c r="D58" s="1">
        <f>D56/1.6</f>
        <v>7641.25</v>
      </c>
      <c r="G58" s="1">
        <f>G56/1.6</f>
        <v>7737.5</v>
      </c>
    </row>
    <row r="59" spans="1:8" x14ac:dyDescent="0.55000000000000004">
      <c r="B59" s="1" t="s">
        <v>228</v>
      </c>
      <c r="D59" s="1">
        <v>48717</v>
      </c>
      <c r="E59" s="1">
        <v>48717</v>
      </c>
      <c r="F59" s="1">
        <v>48717</v>
      </c>
      <c r="G59" s="1">
        <v>48717</v>
      </c>
      <c r="H59" s="1" t="s">
        <v>230</v>
      </c>
    </row>
    <row r="60" spans="1:8" x14ac:dyDescent="0.55000000000000004">
      <c r="B60" s="1" t="s">
        <v>184</v>
      </c>
      <c r="D60" s="1">
        <f>D55+D56+D59</f>
        <v>94827</v>
      </c>
      <c r="E60" s="1">
        <f>E55+E56+E59</f>
        <v>48717</v>
      </c>
      <c r="F60" s="1">
        <f>F55+F56+F59</f>
        <v>48717</v>
      </c>
      <c r="G60" s="1">
        <f>G55+G56+G59</f>
        <v>91569</v>
      </c>
    </row>
    <row r="61" spans="1:8" x14ac:dyDescent="0.55000000000000004">
      <c r="B61" s="1" t="s">
        <v>227</v>
      </c>
      <c r="D61" s="1">
        <f>D57+D58+D59</f>
        <v>77535.75</v>
      </c>
      <c r="E61" s="1">
        <f>E57+E58+E59</f>
        <v>48717</v>
      </c>
      <c r="F61" s="1">
        <f>F57+F58+F59</f>
        <v>48717</v>
      </c>
      <c r="G61" s="1">
        <f>G57+G58+G59</f>
        <v>75499.5</v>
      </c>
    </row>
    <row r="64" spans="1:8" x14ac:dyDescent="0.55000000000000004">
      <c r="A64" s="4" t="s">
        <v>229</v>
      </c>
    </row>
    <row r="65" spans="2:12" x14ac:dyDescent="0.55000000000000004">
      <c r="B65" s="5" t="s">
        <v>235</v>
      </c>
    </row>
    <row r="66" spans="2:12" x14ac:dyDescent="0.55000000000000004">
      <c r="B66" s="5" t="s">
        <v>236</v>
      </c>
    </row>
    <row r="67" spans="2:12" x14ac:dyDescent="0.55000000000000004">
      <c r="B67" s="5" t="s">
        <v>241</v>
      </c>
    </row>
    <row r="68" spans="2:12" x14ac:dyDescent="0.55000000000000004">
      <c r="C68" s="1" t="s">
        <v>181</v>
      </c>
      <c r="D68" s="1" t="s">
        <v>237</v>
      </c>
      <c r="E68" s="1" t="s">
        <v>169</v>
      </c>
      <c r="F68" s="1" t="s">
        <v>167</v>
      </c>
      <c r="G68" s="1" t="s">
        <v>168</v>
      </c>
      <c r="H68" s="1" t="s">
        <v>170</v>
      </c>
      <c r="I68" s="1" t="s">
        <v>171</v>
      </c>
      <c r="J68" s="1" t="s">
        <v>234</v>
      </c>
      <c r="K68" s="1" t="s">
        <v>26</v>
      </c>
    </row>
    <row r="69" spans="2:12" x14ac:dyDescent="0.55000000000000004">
      <c r="C69" s="1">
        <v>0.87</v>
      </c>
      <c r="D69" s="1" t="s">
        <v>231</v>
      </c>
      <c r="E69" s="1" t="s">
        <v>239</v>
      </c>
      <c r="H69" s="1" t="s">
        <v>232</v>
      </c>
      <c r="I69" s="1" t="s">
        <v>232</v>
      </c>
    </row>
    <row r="70" spans="2:12" x14ac:dyDescent="0.55000000000000004">
      <c r="E70" s="1">
        <v>924</v>
      </c>
      <c r="F70" s="1">
        <v>13935</v>
      </c>
      <c r="G70" s="1">
        <v>6036</v>
      </c>
      <c r="H70" s="1">
        <v>20417</v>
      </c>
      <c r="I70" s="1">
        <v>6135</v>
      </c>
      <c r="J70" s="1">
        <v>21241</v>
      </c>
      <c r="K70" s="1">
        <f>SUM(E70:J70)</f>
        <v>68688</v>
      </c>
      <c r="L70" s="1">
        <f>K70/1000</f>
        <v>68.688000000000002</v>
      </c>
    </row>
    <row r="71" spans="2:12" x14ac:dyDescent="0.55000000000000004">
      <c r="H71" s="1" t="s">
        <v>242</v>
      </c>
    </row>
    <row r="72" spans="2:12" x14ac:dyDescent="0.55000000000000004">
      <c r="E72" s="1">
        <f>E70</f>
        <v>924</v>
      </c>
      <c r="F72" s="1">
        <f>F70</f>
        <v>13935</v>
      </c>
      <c r="G72" s="1">
        <f>G70</f>
        <v>6036</v>
      </c>
      <c r="H72" s="1">
        <v>11346</v>
      </c>
      <c r="I72" s="1">
        <f>I70</f>
        <v>6135</v>
      </c>
      <c r="J72" s="1">
        <f>J70</f>
        <v>21241</v>
      </c>
      <c r="K72" s="1">
        <f>SUM(E72:J72)</f>
        <v>59617</v>
      </c>
      <c r="L72" s="1">
        <f>K72/1000</f>
        <v>59.616999999999997</v>
      </c>
    </row>
    <row r="73" spans="2:12" x14ac:dyDescent="0.55000000000000004">
      <c r="D73" s="1" t="s">
        <v>231</v>
      </c>
      <c r="E73" s="1" t="s">
        <v>240</v>
      </c>
      <c r="H73" s="1" t="s">
        <v>232</v>
      </c>
      <c r="I73" s="1" t="s">
        <v>232</v>
      </c>
    </row>
    <row r="74" spans="2:12" x14ac:dyDescent="0.55000000000000004">
      <c r="E74" s="1">
        <v>4834</v>
      </c>
      <c r="F74" s="1">
        <v>11988</v>
      </c>
      <c r="G74" s="1">
        <v>6036</v>
      </c>
      <c r="H74" s="1">
        <v>20417</v>
      </c>
      <c r="I74" s="1">
        <v>6135</v>
      </c>
      <c r="J74" s="1">
        <v>21241</v>
      </c>
      <c r="K74" s="1">
        <f>SUM(E74:J74)</f>
        <v>70651</v>
      </c>
      <c r="L74" s="1">
        <f>K74/1000</f>
        <v>70.650999999999996</v>
      </c>
    </row>
    <row r="75" spans="2:12" x14ac:dyDescent="0.55000000000000004">
      <c r="H75" s="1" t="s">
        <v>242</v>
      </c>
    </row>
    <row r="76" spans="2:12" x14ac:dyDescent="0.55000000000000004">
      <c r="E76" s="1">
        <f>E74</f>
        <v>4834</v>
      </c>
      <c r="F76" s="1">
        <f>F74</f>
        <v>11988</v>
      </c>
      <c r="G76" s="1">
        <f>G74</f>
        <v>6036</v>
      </c>
      <c r="H76" s="1">
        <f>H72</f>
        <v>11346</v>
      </c>
      <c r="I76" s="1">
        <f>I74</f>
        <v>6135</v>
      </c>
      <c r="J76" s="1">
        <f>J74</f>
        <v>21241</v>
      </c>
      <c r="K76" s="1">
        <f>SUM(E76:J76)</f>
        <v>61580</v>
      </c>
      <c r="L76" s="1">
        <f>K76/1000</f>
        <v>61.58</v>
      </c>
    </row>
    <row r="77" spans="2:12" x14ac:dyDescent="0.55000000000000004">
      <c r="D77" s="1" t="s">
        <v>238</v>
      </c>
      <c r="E77" s="1" t="s">
        <v>239</v>
      </c>
      <c r="H77" s="1" t="s">
        <v>232</v>
      </c>
      <c r="I77" s="1" t="s">
        <v>232</v>
      </c>
    </row>
    <row r="78" spans="2:12" x14ac:dyDescent="0.55000000000000004">
      <c r="E78" s="1">
        <v>924</v>
      </c>
      <c r="F78" s="1">
        <v>36313</v>
      </c>
      <c r="G78" s="1">
        <v>14874</v>
      </c>
      <c r="H78" s="1">
        <v>20417</v>
      </c>
      <c r="I78" s="1">
        <v>6135</v>
      </c>
      <c r="J78" s="1">
        <v>21241</v>
      </c>
      <c r="K78" s="1">
        <f>SUM(E78:J78)</f>
        <v>99904</v>
      </c>
      <c r="L78" s="1">
        <f>K78/1000</f>
        <v>99.903999999999996</v>
      </c>
    </row>
    <row r="79" spans="2:12" x14ac:dyDescent="0.55000000000000004">
      <c r="H79" s="1" t="s">
        <v>242</v>
      </c>
    </row>
    <row r="80" spans="2:12" x14ac:dyDescent="0.55000000000000004">
      <c r="E80" s="1">
        <f>E78</f>
        <v>924</v>
      </c>
      <c r="F80" s="1">
        <f>F78</f>
        <v>36313</v>
      </c>
      <c r="G80" s="1">
        <f>G78</f>
        <v>14874</v>
      </c>
      <c r="H80" s="1">
        <f>H76</f>
        <v>11346</v>
      </c>
      <c r="I80" s="1">
        <f>I78</f>
        <v>6135</v>
      </c>
      <c r="J80" s="1">
        <f>J78</f>
        <v>21241</v>
      </c>
      <c r="K80" s="1">
        <f>SUM(E80:J80)</f>
        <v>90833</v>
      </c>
      <c r="L80" s="1">
        <f>K80/1000</f>
        <v>90.832999999999998</v>
      </c>
    </row>
    <row r="81" spans="3:12" x14ac:dyDescent="0.55000000000000004">
      <c r="D81" s="1" t="s">
        <v>238</v>
      </c>
      <c r="E81" s="1" t="s">
        <v>240</v>
      </c>
      <c r="H81" s="1" t="s">
        <v>232</v>
      </c>
      <c r="I81" s="1" t="s">
        <v>232</v>
      </c>
    </row>
    <row r="82" spans="3:12" x14ac:dyDescent="0.55000000000000004">
      <c r="E82" s="1">
        <v>4834</v>
      </c>
      <c r="F82" s="1">
        <v>31247</v>
      </c>
      <c r="G82" s="1">
        <v>14874</v>
      </c>
      <c r="H82" s="1">
        <v>20417</v>
      </c>
      <c r="I82" s="1">
        <v>6135</v>
      </c>
      <c r="J82" s="1">
        <v>21241</v>
      </c>
      <c r="K82" s="1">
        <f>SUM(E82:J82)</f>
        <v>98748</v>
      </c>
      <c r="L82" s="1">
        <f>K82/1000</f>
        <v>98.748000000000005</v>
      </c>
    </row>
    <row r="83" spans="3:12" x14ac:dyDescent="0.55000000000000004">
      <c r="H83" s="1" t="s">
        <v>242</v>
      </c>
    </row>
    <row r="84" spans="3:12" x14ac:dyDescent="0.55000000000000004">
      <c r="E84" s="1">
        <f>E82</f>
        <v>4834</v>
      </c>
      <c r="F84" s="1">
        <f>F82</f>
        <v>31247</v>
      </c>
      <c r="G84" s="1">
        <f>G82</f>
        <v>14874</v>
      </c>
      <c r="H84" s="1">
        <f>H80</f>
        <v>11346</v>
      </c>
      <c r="I84" s="1">
        <f>I82</f>
        <v>6135</v>
      </c>
      <c r="J84" s="1">
        <f>J82</f>
        <v>21241</v>
      </c>
      <c r="K84" s="1">
        <f>SUM(E84:J84)</f>
        <v>89677</v>
      </c>
      <c r="L84" s="1">
        <f>K84/1000</f>
        <v>89.677000000000007</v>
      </c>
    </row>
    <row r="85" spans="3:12" x14ac:dyDescent="0.55000000000000004">
      <c r="C85" s="1">
        <v>0.6</v>
      </c>
      <c r="D85" s="1" t="s">
        <v>231</v>
      </c>
      <c r="E85" s="1" t="s">
        <v>176</v>
      </c>
      <c r="H85" s="1" t="s">
        <v>232</v>
      </c>
      <c r="I85" s="1" t="s">
        <v>232</v>
      </c>
    </row>
    <row r="86" spans="3:12" x14ac:dyDescent="0.55000000000000004">
      <c r="E86" s="1">
        <v>924</v>
      </c>
      <c r="F86" s="1">
        <v>12475</v>
      </c>
      <c r="G86" s="1">
        <v>4441</v>
      </c>
      <c r="H86" s="1">
        <v>20417</v>
      </c>
      <c r="I86" s="1">
        <v>6135</v>
      </c>
      <c r="J86" s="1">
        <v>21241</v>
      </c>
      <c r="K86" s="1">
        <f>SUM(E86:J86)</f>
        <v>65633</v>
      </c>
      <c r="L86" s="1">
        <f>K86/1000</f>
        <v>65.632999999999996</v>
      </c>
    </row>
    <row r="87" spans="3:12" x14ac:dyDescent="0.55000000000000004">
      <c r="H87" s="1" t="s">
        <v>242</v>
      </c>
    </row>
    <row r="88" spans="3:12" x14ac:dyDescent="0.55000000000000004">
      <c r="E88" s="1">
        <f>E86</f>
        <v>924</v>
      </c>
      <c r="F88" s="1">
        <f>F86</f>
        <v>12475</v>
      </c>
      <c r="G88" s="1">
        <f>G86</f>
        <v>4441</v>
      </c>
      <c r="H88" s="1">
        <f>H84</f>
        <v>11346</v>
      </c>
      <c r="I88" s="1">
        <f>I86</f>
        <v>6135</v>
      </c>
      <c r="J88" s="1">
        <f>J86</f>
        <v>21241</v>
      </c>
      <c r="K88" s="1">
        <f>SUM(E88:J88)</f>
        <v>56562</v>
      </c>
      <c r="L88" s="1">
        <f>K88/1000</f>
        <v>56.561999999999998</v>
      </c>
    </row>
    <row r="89" spans="3:12" x14ac:dyDescent="0.55000000000000004">
      <c r="D89" s="1" t="s">
        <v>231</v>
      </c>
      <c r="E89" s="1" t="s">
        <v>195</v>
      </c>
      <c r="H89" s="1" t="s">
        <v>232</v>
      </c>
      <c r="I89" s="1" t="s">
        <v>232</v>
      </c>
    </row>
    <row r="90" spans="3:12" x14ac:dyDescent="0.55000000000000004">
      <c r="E90" s="1">
        <v>4834</v>
      </c>
      <c r="F90" s="1">
        <v>10011</v>
      </c>
      <c r="G90" s="1">
        <v>4441</v>
      </c>
      <c r="H90" s="1">
        <v>20417</v>
      </c>
      <c r="I90" s="1">
        <v>6135</v>
      </c>
      <c r="J90" s="1">
        <v>21241</v>
      </c>
      <c r="K90" s="1">
        <f>SUM(E90:J90)</f>
        <v>67079</v>
      </c>
      <c r="L90" s="1">
        <f>K90/1000</f>
        <v>67.078999999999994</v>
      </c>
    </row>
    <row r="91" spans="3:12" x14ac:dyDescent="0.55000000000000004">
      <c r="H91" s="1" t="s">
        <v>242</v>
      </c>
    </row>
    <row r="92" spans="3:12" x14ac:dyDescent="0.55000000000000004">
      <c r="E92" s="1">
        <f>E90</f>
        <v>4834</v>
      </c>
      <c r="F92" s="1">
        <f>F90</f>
        <v>10011</v>
      </c>
      <c r="G92" s="1">
        <f>G90</f>
        <v>4441</v>
      </c>
      <c r="H92" s="1">
        <f>H88</f>
        <v>11346</v>
      </c>
      <c r="I92" s="1">
        <f>I90</f>
        <v>6135</v>
      </c>
      <c r="J92" s="1">
        <f>J90</f>
        <v>21241</v>
      </c>
      <c r="K92" s="1">
        <f>SUM(E92:J92)</f>
        <v>58008</v>
      </c>
      <c r="L92" s="1">
        <f>K92/1000</f>
        <v>58.008000000000003</v>
      </c>
    </row>
    <row r="93" spans="3:12" x14ac:dyDescent="0.55000000000000004">
      <c r="D93" s="1" t="s">
        <v>238</v>
      </c>
      <c r="E93" s="1" t="s">
        <v>239</v>
      </c>
      <c r="H93" s="1" t="s">
        <v>232</v>
      </c>
      <c r="I93" s="1" t="s">
        <v>232</v>
      </c>
    </row>
    <row r="94" spans="3:12" x14ac:dyDescent="0.55000000000000004">
      <c r="E94" s="1">
        <v>924</v>
      </c>
      <c r="F94" s="1">
        <v>34237</v>
      </c>
      <c r="G94" s="1">
        <v>12379</v>
      </c>
      <c r="H94" s="1">
        <v>20417</v>
      </c>
      <c r="I94" s="1">
        <v>6135</v>
      </c>
      <c r="J94" s="1">
        <v>21241</v>
      </c>
      <c r="K94" s="1">
        <f>SUM(E94:J94)</f>
        <v>95333</v>
      </c>
      <c r="L94" s="1">
        <f>K94/1000</f>
        <v>95.332999999999998</v>
      </c>
    </row>
    <row r="95" spans="3:12" x14ac:dyDescent="0.55000000000000004">
      <c r="H95" s="1" t="s">
        <v>242</v>
      </c>
    </row>
    <row r="96" spans="3:12" x14ac:dyDescent="0.55000000000000004">
      <c r="E96" s="1">
        <f>E94</f>
        <v>924</v>
      </c>
      <c r="F96" s="1">
        <f>F94</f>
        <v>34237</v>
      </c>
      <c r="G96" s="1">
        <f>G94</f>
        <v>12379</v>
      </c>
      <c r="H96" s="1">
        <f>H92</f>
        <v>11346</v>
      </c>
      <c r="I96" s="1">
        <f>I94</f>
        <v>6135</v>
      </c>
      <c r="J96" s="1">
        <f>J94</f>
        <v>21241</v>
      </c>
      <c r="K96" s="1">
        <f>SUM(E96:J96)</f>
        <v>86262</v>
      </c>
      <c r="L96" s="1">
        <f>K96/1000</f>
        <v>86.262</v>
      </c>
    </row>
    <row r="97" spans="3:12" x14ac:dyDescent="0.55000000000000004">
      <c r="D97" s="1" t="s">
        <v>238</v>
      </c>
      <c r="E97" s="1" t="s">
        <v>240</v>
      </c>
      <c r="H97" s="1" t="s">
        <v>232</v>
      </c>
      <c r="I97" s="1" t="s">
        <v>232</v>
      </c>
    </row>
    <row r="98" spans="3:12" x14ac:dyDescent="0.55000000000000004">
      <c r="E98" s="1">
        <v>4834</v>
      </c>
      <c r="F98" s="1">
        <v>28402</v>
      </c>
      <c r="G98" s="1">
        <v>12379</v>
      </c>
      <c r="H98" s="1">
        <v>20417</v>
      </c>
      <c r="I98" s="1">
        <v>6135</v>
      </c>
      <c r="J98" s="1">
        <v>21241</v>
      </c>
      <c r="K98" s="1">
        <f>SUM(E98:J98)</f>
        <v>93408</v>
      </c>
      <c r="L98" s="1">
        <f>K98/1000</f>
        <v>93.408000000000001</v>
      </c>
    </row>
    <row r="99" spans="3:12" x14ac:dyDescent="0.55000000000000004">
      <c r="H99" s="1" t="s">
        <v>242</v>
      </c>
    </row>
    <row r="100" spans="3:12" x14ac:dyDescent="0.55000000000000004">
      <c r="E100" s="1">
        <f>E98</f>
        <v>4834</v>
      </c>
      <c r="F100" s="1">
        <f>F98</f>
        <v>28402</v>
      </c>
      <c r="G100" s="1">
        <f>G98</f>
        <v>12379</v>
      </c>
      <c r="H100" s="1">
        <f>H96</f>
        <v>11346</v>
      </c>
      <c r="I100" s="1">
        <f>I98</f>
        <v>6135</v>
      </c>
      <c r="J100" s="1">
        <f>J98</f>
        <v>21241</v>
      </c>
      <c r="K100" s="1">
        <f>SUM(E100:J100)</f>
        <v>84337</v>
      </c>
      <c r="L100" s="1">
        <f>K100/1000</f>
        <v>84.337000000000003</v>
      </c>
    </row>
    <row r="101" spans="3:12" x14ac:dyDescent="0.55000000000000004">
      <c r="C101" s="1">
        <v>0.56000000000000005</v>
      </c>
      <c r="D101" s="1" t="s">
        <v>231</v>
      </c>
      <c r="E101" s="1" t="s">
        <v>176</v>
      </c>
      <c r="H101" s="1" t="s">
        <v>232</v>
      </c>
      <c r="I101" s="1" t="s">
        <v>232</v>
      </c>
    </row>
    <row r="102" spans="3:12" x14ac:dyDescent="0.55000000000000004">
      <c r="E102" s="1">
        <v>924</v>
      </c>
      <c r="F102" s="1">
        <v>12135</v>
      </c>
      <c r="G102" s="1">
        <v>4480</v>
      </c>
      <c r="H102" s="1">
        <v>20417</v>
      </c>
      <c r="I102" s="1">
        <v>6135</v>
      </c>
      <c r="J102" s="1">
        <v>21241</v>
      </c>
      <c r="K102" s="1">
        <f>SUM(E102:J102)</f>
        <v>65332</v>
      </c>
      <c r="L102" s="1">
        <f>K102/1000</f>
        <v>65.331999999999994</v>
      </c>
    </row>
    <row r="103" spans="3:12" x14ac:dyDescent="0.55000000000000004">
      <c r="H103" s="1" t="s">
        <v>242</v>
      </c>
    </row>
    <row r="104" spans="3:12" x14ac:dyDescent="0.55000000000000004">
      <c r="E104" s="1">
        <f>E102</f>
        <v>924</v>
      </c>
      <c r="F104" s="1">
        <f>F102</f>
        <v>12135</v>
      </c>
      <c r="G104" s="1">
        <f>G102</f>
        <v>4480</v>
      </c>
      <c r="H104" s="1">
        <f>H100</f>
        <v>11346</v>
      </c>
      <c r="I104" s="1">
        <f>I102</f>
        <v>6135</v>
      </c>
      <c r="J104" s="1">
        <f>J102</f>
        <v>21241</v>
      </c>
      <c r="K104" s="1">
        <f>SUM(E104:J104)</f>
        <v>56261</v>
      </c>
      <c r="L104" s="1">
        <f>K104/1000</f>
        <v>56.261000000000003</v>
      </c>
    </row>
    <row r="105" spans="3:12" x14ac:dyDescent="0.55000000000000004">
      <c r="D105" s="1" t="s">
        <v>231</v>
      </c>
      <c r="E105" s="1" t="s">
        <v>195</v>
      </c>
      <c r="H105" s="1" t="s">
        <v>232</v>
      </c>
      <c r="I105" s="1" t="s">
        <v>232</v>
      </c>
    </row>
    <row r="106" spans="3:12" x14ac:dyDescent="0.55000000000000004">
      <c r="E106" s="1">
        <v>4834</v>
      </c>
      <c r="F106" s="1">
        <v>9906</v>
      </c>
      <c r="G106" s="1">
        <v>4480</v>
      </c>
      <c r="H106" s="1">
        <v>20417</v>
      </c>
      <c r="I106" s="1">
        <v>6135</v>
      </c>
      <c r="J106" s="1">
        <v>21241</v>
      </c>
      <c r="K106" s="1">
        <f>SUM(E106:J106)</f>
        <v>67013</v>
      </c>
      <c r="L106" s="1">
        <f>K106/1000</f>
        <v>67.013000000000005</v>
      </c>
    </row>
    <row r="107" spans="3:12" x14ac:dyDescent="0.55000000000000004">
      <c r="H107" s="1" t="s">
        <v>242</v>
      </c>
    </row>
    <row r="108" spans="3:12" x14ac:dyDescent="0.55000000000000004">
      <c r="E108" s="1">
        <f>E106</f>
        <v>4834</v>
      </c>
      <c r="F108" s="1">
        <f>F106</f>
        <v>9906</v>
      </c>
      <c r="G108" s="1">
        <f>G106</f>
        <v>4480</v>
      </c>
      <c r="H108" s="1">
        <f>H104</f>
        <v>11346</v>
      </c>
      <c r="I108" s="1">
        <f>I106</f>
        <v>6135</v>
      </c>
      <c r="J108" s="1">
        <f>J106</f>
        <v>21241</v>
      </c>
      <c r="K108" s="1">
        <f>SUM(E108:J108)</f>
        <v>57942</v>
      </c>
      <c r="L108" s="1">
        <f>K108/1000</f>
        <v>57.942</v>
      </c>
    </row>
    <row r="109" spans="3:12" x14ac:dyDescent="0.55000000000000004">
      <c r="D109" s="1" t="s">
        <v>238</v>
      </c>
      <c r="E109" s="1" t="s">
        <v>239</v>
      </c>
      <c r="H109" s="1" t="s">
        <v>232</v>
      </c>
      <c r="I109" s="1" t="s">
        <v>232</v>
      </c>
    </row>
    <row r="110" spans="3:12" x14ac:dyDescent="0.55000000000000004">
      <c r="E110" s="1">
        <v>924</v>
      </c>
      <c r="F110" s="1">
        <v>33400</v>
      </c>
      <c r="G110" s="1">
        <v>12448</v>
      </c>
      <c r="H110" s="1">
        <v>20417</v>
      </c>
      <c r="I110" s="1">
        <v>6135</v>
      </c>
      <c r="J110" s="1">
        <v>21241</v>
      </c>
      <c r="K110" s="1">
        <f>SUM(E110:J110)</f>
        <v>94565</v>
      </c>
      <c r="L110" s="1">
        <f>K110/1000</f>
        <v>94.564999999999998</v>
      </c>
    </row>
    <row r="111" spans="3:12" x14ac:dyDescent="0.55000000000000004">
      <c r="H111" s="1" t="s">
        <v>242</v>
      </c>
    </row>
    <row r="112" spans="3:12" x14ac:dyDescent="0.55000000000000004">
      <c r="E112" s="1">
        <f>E110</f>
        <v>924</v>
      </c>
      <c r="F112" s="1">
        <f>F110</f>
        <v>33400</v>
      </c>
      <c r="G112" s="1">
        <f>G110</f>
        <v>12448</v>
      </c>
      <c r="H112" s="1">
        <f>H108</f>
        <v>11346</v>
      </c>
      <c r="I112" s="1">
        <f>I110</f>
        <v>6135</v>
      </c>
      <c r="J112" s="1">
        <f>J110</f>
        <v>21241</v>
      </c>
      <c r="K112" s="1">
        <f>SUM(E112:J112)</f>
        <v>85494</v>
      </c>
      <c r="L112" s="1">
        <f>K112/1000</f>
        <v>85.494</v>
      </c>
    </row>
    <row r="113" spans="3:12" x14ac:dyDescent="0.55000000000000004">
      <c r="D113" s="1" t="s">
        <v>238</v>
      </c>
      <c r="E113" s="1" t="s">
        <v>195</v>
      </c>
      <c r="H113" s="1" t="s">
        <v>232</v>
      </c>
      <c r="I113" s="1" t="s">
        <v>232</v>
      </c>
    </row>
    <row r="114" spans="3:12" x14ac:dyDescent="0.55000000000000004">
      <c r="E114" s="1">
        <v>4834</v>
      </c>
      <c r="F114" s="1">
        <v>28238</v>
      </c>
      <c r="G114" s="1">
        <v>12448</v>
      </c>
      <c r="H114" s="1">
        <v>20417</v>
      </c>
      <c r="I114" s="1">
        <v>6135</v>
      </c>
      <c r="J114" s="1">
        <v>21241</v>
      </c>
      <c r="K114" s="1">
        <f>SUM(E114:J114)</f>
        <v>93313</v>
      </c>
      <c r="L114" s="1">
        <f>K114/1000</f>
        <v>93.313000000000002</v>
      </c>
    </row>
    <row r="115" spans="3:12" x14ac:dyDescent="0.55000000000000004">
      <c r="H115" s="1" t="s">
        <v>242</v>
      </c>
    </row>
    <row r="116" spans="3:12" x14ac:dyDescent="0.55000000000000004">
      <c r="E116" s="1">
        <f>E114</f>
        <v>4834</v>
      </c>
      <c r="F116" s="1">
        <f>F114</f>
        <v>28238</v>
      </c>
      <c r="G116" s="1">
        <f>G114</f>
        <v>12448</v>
      </c>
      <c r="H116" s="1">
        <f>H112</f>
        <v>11346</v>
      </c>
      <c r="I116" s="1">
        <f>I114</f>
        <v>6135</v>
      </c>
      <c r="J116" s="1">
        <f>J114</f>
        <v>21241</v>
      </c>
      <c r="K116" s="1">
        <f>SUM(E116:J116)</f>
        <v>84242</v>
      </c>
      <c r="L116" s="1">
        <f>K116/1000</f>
        <v>84.242000000000004</v>
      </c>
    </row>
    <row r="117" spans="3:12" x14ac:dyDescent="0.55000000000000004">
      <c r="C117" s="1">
        <v>0.51</v>
      </c>
      <c r="D117" s="1" t="s">
        <v>231</v>
      </c>
      <c r="E117" s="1" t="s">
        <v>176</v>
      </c>
      <c r="H117" s="1" t="s">
        <v>232</v>
      </c>
      <c r="I117" s="1" t="s">
        <v>232</v>
      </c>
    </row>
    <row r="118" spans="3:12" x14ac:dyDescent="0.55000000000000004">
      <c r="E118" s="1">
        <v>924</v>
      </c>
      <c r="F118" s="1">
        <v>11481</v>
      </c>
      <c r="G118" s="1">
        <v>4527</v>
      </c>
      <c r="H118" s="1">
        <v>20417</v>
      </c>
      <c r="I118" s="1">
        <v>6135</v>
      </c>
      <c r="J118" s="1">
        <v>21241</v>
      </c>
      <c r="K118" s="1">
        <f>SUM(E118:J118)</f>
        <v>64725</v>
      </c>
      <c r="L118" s="1">
        <f>K118/1000</f>
        <v>64.724999999999994</v>
      </c>
    </row>
    <row r="119" spans="3:12" x14ac:dyDescent="0.55000000000000004">
      <c r="H119" s="1" t="s">
        <v>242</v>
      </c>
    </row>
    <row r="120" spans="3:12" x14ac:dyDescent="0.55000000000000004">
      <c r="E120" s="1">
        <f>E118</f>
        <v>924</v>
      </c>
      <c r="F120" s="1">
        <f>F118</f>
        <v>11481</v>
      </c>
      <c r="G120" s="1">
        <f>G118</f>
        <v>4527</v>
      </c>
      <c r="H120" s="1">
        <f>H116</f>
        <v>11346</v>
      </c>
      <c r="I120" s="1">
        <f>I118</f>
        <v>6135</v>
      </c>
      <c r="J120" s="1">
        <f>J118</f>
        <v>21241</v>
      </c>
      <c r="K120" s="1">
        <f>SUM(E120:J120)</f>
        <v>55654</v>
      </c>
      <c r="L120" s="1">
        <f>K120/1000</f>
        <v>55.654000000000003</v>
      </c>
    </row>
    <row r="121" spans="3:12" x14ac:dyDescent="0.55000000000000004">
      <c r="D121" s="1" t="s">
        <v>231</v>
      </c>
      <c r="E121" s="1" t="s">
        <v>195</v>
      </c>
      <c r="H121" s="1" t="s">
        <v>232</v>
      </c>
      <c r="I121" s="1" t="s">
        <v>232</v>
      </c>
    </row>
    <row r="122" spans="3:12" x14ac:dyDescent="0.55000000000000004">
      <c r="E122" s="1">
        <v>4834</v>
      </c>
      <c r="F122" s="1">
        <v>9198</v>
      </c>
      <c r="G122" s="1">
        <v>4527</v>
      </c>
      <c r="H122" s="1">
        <v>20417</v>
      </c>
      <c r="I122" s="1">
        <v>6135</v>
      </c>
      <c r="J122" s="1">
        <v>21241</v>
      </c>
      <c r="K122" s="1">
        <f>SUM(E122:J122)</f>
        <v>66352</v>
      </c>
      <c r="L122" s="1">
        <f>K122/1000</f>
        <v>66.352000000000004</v>
      </c>
    </row>
    <row r="123" spans="3:12" x14ac:dyDescent="0.55000000000000004">
      <c r="H123" s="1" t="s">
        <v>242</v>
      </c>
    </row>
    <row r="124" spans="3:12" x14ac:dyDescent="0.55000000000000004">
      <c r="E124" s="1">
        <f>E122</f>
        <v>4834</v>
      </c>
      <c r="F124" s="1">
        <f>F122</f>
        <v>9198</v>
      </c>
      <c r="G124" s="1">
        <f>G122</f>
        <v>4527</v>
      </c>
      <c r="H124" s="1">
        <f>H120</f>
        <v>11346</v>
      </c>
      <c r="I124" s="1">
        <f>I122</f>
        <v>6135</v>
      </c>
      <c r="J124" s="1">
        <f>J122</f>
        <v>21241</v>
      </c>
      <c r="K124" s="1">
        <f>SUM(E124:J124)</f>
        <v>57281</v>
      </c>
      <c r="L124" s="1">
        <f>K124/1000</f>
        <v>57.280999999999999</v>
      </c>
    </row>
    <row r="125" spans="3:12" x14ac:dyDescent="0.55000000000000004">
      <c r="D125" s="1" t="s">
        <v>238</v>
      </c>
      <c r="E125" s="1" t="s">
        <v>239</v>
      </c>
      <c r="H125" s="1" t="s">
        <v>232</v>
      </c>
      <c r="I125" s="1" t="s">
        <v>232</v>
      </c>
    </row>
    <row r="126" spans="3:12" x14ac:dyDescent="0.55000000000000004">
      <c r="E126" s="1">
        <v>924</v>
      </c>
      <c r="F126" s="1">
        <v>32200</v>
      </c>
      <c r="G126" s="1">
        <v>12539</v>
      </c>
      <c r="H126" s="1">
        <v>20417</v>
      </c>
      <c r="I126" s="1">
        <v>6135</v>
      </c>
      <c r="J126" s="1">
        <v>21241</v>
      </c>
      <c r="K126" s="1">
        <f>SUM(E126:J126)</f>
        <v>93456</v>
      </c>
      <c r="L126" s="1">
        <f>K126/1000</f>
        <v>93.456000000000003</v>
      </c>
    </row>
    <row r="127" spans="3:12" x14ac:dyDescent="0.55000000000000004">
      <c r="H127" s="1" t="s">
        <v>242</v>
      </c>
    </row>
    <row r="128" spans="3:12" x14ac:dyDescent="0.55000000000000004">
      <c r="E128" s="1">
        <f>E126</f>
        <v>924</v>
      </c>
      <c r="F128" s="1">
        <f>F126</f>
        <v>32200</v>
      </c>
      <c r="G128" s="1">
        <f>G126</f>
        <v>12539</v>
      </c>
      <c r="H128" s="1">
        <f>H124</f>
        <v>11346</v>
      </c>
      <c r="I128" s="1">
        <f>I126</f>
        <v>6135</v>
      </c>
      <c r="J128" s="1">
        <f>J126</f>
        <v>21241</v>
      </c>
      <c r="K128" s="1">
        <f>SUM(E128:J128)</f>
        <v>84385</v>
      </c>
      <c r="L128" s="1">
        <f>K128/1000</f>
        <v>84.385000000000005</v>
      </c>
    </row>
    <row r="129" spans="3:12" x14ac:dyDescent="0.55000000000000004">
      <c r="D129" s="1" t="s">
        <v>238</v>
      </c>
      <c r="E129" s="1" t="s">
        <v>240</v>
      </c>
      <c r="H129" s="1" t="s">
        <v>232</v>
      </c>
      <c r="I129" s="1" t="s">
        <v>232</v>
      </c>
    </row>
    <row r="130" spans="3:12" x14ac:dyDescent="0.55000000000000004">
      <c r="E130" s="1">
        <v>4834</v>
      </c>
      <c r="F130" s="1">
        <v>26911</v>
      </c>
      <c r="G130" s="1">
        <v>12539</v>
      </c>
      <c r="H130" s="1">
        <v>20417</v>
      </c>
      <c r="I130" s="1">
        <v>6135</v>
      </c>
      <c r="J130" s="1">
        <v>21241</v>
      </c>
      <c r="K130" s="1">
        <f>SUM(E130:J130)</f>
        <v>92077</v>
      </c>
      <c r="L130" s="1">
        <f>K130/1000</f>
        <v>92.076999999999998</v>
      </c>
    </row>
    <row r="131" spans="3:12" x14ac:dyDescent="0.55000000000000004">
      <c r="H131" s="1" t="s">
        <v>242</v>
      </c>
    </row>
    <row r="132" spans="3:12" x14ac:dyDescent="0.55000000000000004">
      <c r="E132" s="1">
        <f>E130</f>
        <v>4834</v>
      </c>
      <c r="F132" s="1">
        <f>F130</f>
        <v>26911</v>
      </c>
      <c r="G132" s="1">
        <f>G130</f>
        <v>12539</v>
      </c>
      <c r="H132" s="1">
        <f>H128</f>
        <v>11346</v>
      </c>
      <c r="I132" s="1">
        <f>I130</f>
        <v>6135</v>
      </c>
      <c r="J132" s="1">
        <f>J130</f>
        <v>21241</v>
      </c>
      <c r="K132" s="1">
        <f>SUM(E132:J132)</f>
        <v>83006</v>
      </c>
      <c r="L132" s="1">
        <f>K132/1000</f>
        <v>83.006</v>
      </c>
    </row>
    <row r="133" spans="3:12" x14ac:dyDescent="0.55000000000000004">
      <c r="C133" s="1">
        <v>0.46</v>
      </c>
      <c r="D133" s="1" t="s">
        <v>231</v>
      </c>
      <c r="E133" s="1" t="s">
        <v>176</v>
      </c>
      <c r="H133" s="1" t="s">
        <v>232</v>
      </c>
      <c r="I133" s="1" t="s">
        <v>232</v>
      </c>
    </row>
    <row r="134" spans="3:12" x14ac:dyDescent="0.55000000000000004">
      <c r="E134" s="1">
        <v>924</v>
      </c>
      <c r="F134" s="1">
        <v>10622</v>
      </c>
      <c r="G134" s="1">
        <v>4445</v>
      </c>
      <c r="H134" s="1">
        <v>20417</v>
      </c>
      <c r="I134" s="1">
        <v>6135</v>
      </c>
      <c r="J134" s="1">
        <v>21241</v>
      </c>
      <c r="K134" s="1">
        <f>SUM(E134:J134)</f>
        <v>63784</v>
      </c>
      <c r="L134" s="1">
        <f>K134/1000</f>
        <v>63.783999999999999</v>
      </c>
    </row>
    <row r="135" spans="3:12" x14ac:dyDescent="0.55000000000000004">
      <c r="H135" s="1" t="s">
        <v>242</v>
      </c>
    </row>
    <row r="136" spans="3:12" x14ac:dyDescent="0.55000000000000004">
      <c r="E136" s="1">
        <f>E134</f>
        <v>924</v>
      </c>
      <c r="F136" s="1">
        <f>F134</f>
        <v>10622</v>
      </c>
      <c r="G136" s="1">
        <f>G134</f>
        <v>4445</v>
      </c>
      <c r="H136" s="1">
        <f>H132</f>
        <v>11346</v>
      </c>
      <c r="I136" s="1">
        <f>I134</f>
        <v>6135</v>
      </c>
      <c r="J136" s="1">
        <f>J134</f>
        <v>21241</v>
      </c>
      <c r="K136" s="1">
        <f>SUM(E136:J136)</f>
        <v>54713</v>
      </c>
      <c r="L136" s="1">
        <f>K136/1000</f>
        <v>54.713000000000001</v>
      </c>
    </row>
    <row r="137" spans="3:12" x14ac:dyDescent="0.55000000000000004">
      <c r="D137" s="1" t="s">
        <v>231</v>
      </c>
      <c r="E137" s="1" t="s">
        <v>195</v>
      </c>
      <c r="H137" s="1" t="s">
        <v>232</v>
      </c>
      <c r="I137" s="1" t="s">
        <v>232</v>
      </c>
    </row>
    <row r="138" spans="3:12" x14ac:dyDescent="0.55000000000000004">
      <c r="E138" s="1">
        <v>4834</v>
      </c>
      <c r="F138" s="1">
        <v>8193</v>
      </c>
      <c r="G138" s="1">
        <v>4445</v>
      </c>
      <c r="H138" s="1">
        <v>20417</v>
      </c>
      <c r="I138" s="1">
        <v>6135</v>
      </c>
      <c r="J138" s="1">
        <v>21241</v>
      </c>
      <c r="K138" s="1">
        <f>SUM(E138:J138)</f>
        <v>65265</v>
      </c>
      <c r="L138" s="1">
        <f>K138/1000</f>
        <v>65.265000000000001</v>
      </c>
    </row>
    <row r="139" spans="3:12" x14ac:dyDescent="0.55000000000000004">
      <c r="H139" s="1" t="s">
        <v>242</v>
      </c>
    </row>
    <row r="140" spans="3:12" x14ac:dyDescent="0.55000000000000004">
      <c r="E140" s="1">
        <f>E138</f>
        <v>4834</v>
      </c>
      <c r="F140" s="1">
        <f>F138</f>
        <v>8193</v>
      </c>
      <c r="G140" s="1">
        <f>G138</f>
        <v>4445</v>
      </c>
      <c r="H140" s="1">
        <f>H136</f>
        <v>11346</v>
      </c>
      <c r="I140" s="1">
        <f>I138</f>
        <v>6135</v>
      </c>
      <c r="J140" s="1">
        <f>J138</f>
        <v>21241</v>
      </c>
      <c r="K140" s="1">
        <f>SUM(E140:J140)</f>
        <v>56194</v>
      </c>
      <c r="L140" s="1">
        <f>K140/1000</f>
        <v>56.194000000000003</v>
      </c>
    </row>
    <row r="141" spans="3:12" x14ac:dyDescent="0.55000000000000004">
      <c r="D141" s="1" t="s">
        <v>238</v>
      </c>
      <c r="E141" s="1" t="s">
        <v>239</v>
      </c>
      <c r="H141" s="1" t="s">
        <v>232</v>
      </c>
      <c r="I141" s="1" t="s">
        <v>232</v>
      </c>
    </row>
    <row r="142" spans="3:12" x14ac:dyDescent="0.55000000000000004">
      <c r="E142" s="1">
        <v>924</v>
      </c>
      <c r="F142" s="1">
        <v>30801</v>
      </c>
      <c r="G142" s="1">
        <v>12531</v>
      </c>
      <c r="H142" s="1">
        <v>20417</v>
      </c>
      <c r="I142" s="1">
        <v>6135</v>
      </c>
      <c r="J142" s="1">
        <v>21241</v>
      </c>
      <c r="K142" s="1">
        <f>SUM(E142:J142)</f>
        <v>92049</v>
      </c>
      <c r="L142" s="1">
        <f>K142/1000</f>
        <v>92.049000000000007</v>
      </c>
    </row>
    <row r="143" spans="3:12" x14ac:dyDescent="0.55000000000000004">
      <c r="H143" s="1" t="s">
        <v>242</v>
      </c>
    </row>
    <row r="144" spans="3:12" x14ac:dyDescent="0.55000000000000004">
      <c r="E144" s="1">
        <f>E142</f>
        <v>924</v>
      </c>
      <c r="F144" s="1">
        <f>F142</f>
        <v>30801</v>
      </c>
      <c r="G144" s="1">
        <f>G142</f>
        <v>12531</v>
      </c>
      <c r="H144" s="1">
        <f>H140</f>
        <v>11346</v>
      </c>
      <c r="I144" s="1">
        <f>I142</f>
        <v>6135</v>
      </c>
      <c r="J144" s="1">
        <f>J142</f>
        <v>21241</v>
      </c>
      <c r="K144" s="1">
        <f>SUM(E144:J144)</f>
        <v>82978</v>
      </c>
      <c r="L144" s="1">
        <f>K144/1000</f>
        <v>82.977999999999994</v>
      </c>
    </row>
    <row r="145" spans="1:12" x14ac:dyDescent="0.55000000000000004">
      <c r="D145" s="1" t="s">
        <v>238</v>
      </c>
      <c r="E145" s="1" t="s">
        <v>240</v>
      </c>
      <c r="H145" s="1" t="s">
        <v>232</v>
      </c>
      <c r="I145" s="1" t="s">
        <v>232</v>
      </c>
    </row>
    <row r="146" spans="1:12" x14ac:dyDescent="0.55000000000000004">
      <c r="E146" s="1">
        <v>4834</v>
      </c>
      <c r="F146" s="1">
        <v>25227</v>
      </c>
      <c r="G146" s="1">
        <v>12531</v>
      </c>
      <c r="H146" s="1">
        <v>20417</v>
      </c>
      <c r="I146" s="1">
        <v>6135</v>
      </c>
      <c r="J146" s="1">
        <v>21241</v>
      </c>
      <c r="K146" s="1">
        <f>SUM(E146:J146)</f>
        <v>90385</v>
      </c>
      <c r="L146" s="1">
        <f>K146/1000</f>
        <v>90.385000000000005</v>
      </c>
    </row>
    <row r="147" spans="1:12" x14ac:dyDescent="0.55000000000000004">
      <c r="H147" s="1" t="s">
        <v>242</v>
      </c>
    </row>
    <row r="148" spans="1:12" x14ac:dyDescent="0.55000000000000004">
      <c r="E148" s="1">
        <f>E146</f>
        <v>4834</v>
      </c>
      <c r="F148" s="1">
        <f>F146</f>
        <v>25227</v>
      </c>
      <c r="G148" s="1">
        <f>G146</f>
        <v>12531</v>
      </c>
      <c r="H148" s="1">
        <f>H144</f>
        <v>11346</v>
      </c>
      <c r="I148" s="1">
        <f>I146</f>
        <v>6135</v>
      </c>
      <c r="J148" s="1">
        <f>J146</f>
        <v>21241</v>
      </c>
      <c r="K148" s="1">
        <f>SUM(E148:J148)</f>
        <v>81314</v>
      </c>
      <c r="L148" s="1">
        <f>K148/1000</f>
        <v>81.313999999999993</v>
      </c>
    </row>
    <row r="150" spans="1:12" x14ac:dyDescent="0.55000000000000004">
      <c r="A150" s="1" t="s">
        <v>253</v>
      </c>
      <c r="G150" s="1">
        <f>F148+G148</f>
        <v>37758</v>
      </c>
      <c r="H150" s="1">
        <v>0.7</v>
      </c>
      <c r="I150" s="1">
        <f>G150*H150</f>
        <v>26430.6</v>
      </c>
    </row>
    <row r="151" spans="1:12" x14ac:dyDescent="0.55000000000000004">
      <c r="B151" s="4" t="s">
        <v>254</v>
      </c>
      <c r="C151" s="1" t="s">
        <v>255</v>
      </c>
    </row>
    <row r="152" spans="1:12" x14ac:dyDescent="0.55000000000000004">
      <c r="C152" s="1" t="s">
        <v>256</v>
      </c>
    </row>
    <row r="154" spans="1:12" x14ac:dyDescent="0.55000000000000004">
      <c r="B154" s="1" t="s">
        <v>257</v>
      </c>
      <c r="D154" s="1">
        <v>2430.4</v>
      </c>
      <c r="E154" s="1" t="s">
        <v>258</v>
      </c>
    </row>
    <row r="155" spans="1:12" x14ac:dyDescent="0.55000000000000004">
      <c r="C155" s="1" t="s">
        <v>259</v>
      </c>
      <c r="D155" s="1">
        <f>D154*9.76</f>
        <v>23720.704000000002</v>
      </c>
      <c r="E155" s="1" t="s">
        <v>260</v>
      </c>
    </row>
    <row r="156" spans="1:12" x14ac:dyDescent="0.55000000000000004">
      <c r="B156" s="1" t="s">
        <v>267</v>
      </c>
      <c r="D156" s="1">
        <f>F100+G100</f>
        <v>40781</v>
      </c>
      <c r="E156" s="1" t="s">
        <v>260</v>
      </c>
    </row>
    <row r="157" spans="1:12" x14ac:dyDescent="0.55000000000000004">
      <c r="C157" s="1" t="s">
        <v>261</v>
      </c>
      <c r="D157" s="8">
        <f>D155/D156</f>
        <v>0.58166067531448473</v>
      </c>
    </row>
    <row r="159" spans="1:12" x14ac:dyDescent="0.55000000000000004">
      <c r="B159" s="4" t="s">
        <v>262</v>
      </c>
      <c r="C159" s="1" t="s">
        <v>266</v>
      </c>
      <c r="F159" s="1" t="s">
        <v>269</v>
      </c>
    </row>
    <row r="160" spans="1:12" x14ac:dyDescent="0.55000000000000004">
      <c r="C160" s="1" t="s">
        <v>263</v>
      </c>
      <c r="D160" s="1">
        <v>21444</v>
      </c>
      <c r="E160" s="1">
        <f>F116</f>
        <v>28238</v>
      </c>
      <c r="F160" s="1">
        <f>D160/E160</f>
        <v>0.75940222395353774</v>
      </c>
    </row>
    <row r="161" spans="2:8" x14ac:dyDescent="0.55000000000000004">
      <c r="C161" s="1" t="s">
        <v>264</v>
      </c>
      <c r="D161" s="1">
        <v>9842</v>
      </c>
      <c r="E161" s="1">
        <f>G116</f>
        <v>12448</v>
      </c>
      <c r="F161" s="1">
        <f>D161/E161</f>
        <v>0.79064910025706936</v>
      </c>
    </row>
    <row r="162" spans="2:8" x14ac:dyDescent="0.55000000000000004">
      <c r="D162" s="1">
        <f>SUM(D160:D161)</f>
        <v>31286</v>
      </c>
    </row>
    <row r="163" spans="2:8" x14ac:dyDescent="0.55000000000000004">
      <c r="B163" s="1" t="s">
        <v>268</v>
      </c>
      <c r="D163" s="1">
        <f>F116+G116</f>
        <v>40686</v>
      </c>
      <c r="H163" s="1">
        <f>D163*0.7</f>
        <v>28480.199999999997</v>
      </c>
    </row>
    <row r="164" spans="2:8" x14ac:dyDescent="0.55000000000000004">
      <c r="C164" s="1" t="s">
        <v>261</v>
      </c>
      <c r="D164" s="8">
        <f>D162/D163</f>
        <v>0.76896229661308557</v>
      </c>
    </row>
    <row r="165" spans="2:8" x14ac:dyDescent="0.55000000000000004">
      <c r="C165" s="1" t="s">
        <v>265</v>
      </c>
    </row>
    <row r="166" spans="2:8" x14ac:dyDescent="0.55000000000000004">
      <c r="C166" s="1" t="s">
        <v>263</v>
      </c>
      <c r="D166" s="1">
        <v>7431</v>
      </c>
    </row>
    <row r="167" spans="2:8" x14ac:dyDescent="0.55000000000000004">
      <c r="C167" s="1" t="s">
        <v>264</v>
      </c>
      <c r="D167" s="1">
        <v>4801</v>
      </c>
    </row>
    <row r="168" spans="2:8" x14ac:dyDescent="0.55000000000000004">
      <c r="D168" s="1">
        <f>SUM(D166:D167)</f>
        <v>12232</v>
      </c>
    </row>
  </sheetData>
  <mergeCells count="2">
    <mergeCell ref="F30:G31"/>
    <mergeCell ref="F34:G35"/>
  </mergeCells>
  <phoneticPr fontId="1"/>
  <pageMargins left="0.7" right="0.7" top="0.75" bottom="0.75" header="0.3" footer="0.3"/>
  <pageSetup paperSize="9" orientation="portrait" horizontalDpi="12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7ACDC-31E7-4CDF-BD49-9B372E4120B2}">
  <dimension ref="A1:F17"/>
  <sheetViews>
    <sheetView topLeftCell="A7" workbookViewId="0">
      <selection activeCell="G9" sqref="G9"/>
    </sheetView>
  </sheetViews>
  <sheetFormatPr defaultColWidth="8.58203125" defaultRowHeight="15" x14ac:dyDescent="0.55000000000000004"/>
  <cols>
    <col min="1" max="16384" width="8.58203125" style="1"/>
  </cols>
  <sheetData>
    <row r="1" spans="1:6" x14ac:dyDescent="0.55000000000000004">
      <c r="A1" s="1" t="s">
        <v>244</v>
      </c>
    </row>
    <row r="2" spans="1:6" x14ac:dyDescent="0.55000000000000004">
      <c r="B2" s="3">
        <v>2043</v>
      </c>
      <c r="C2" s="1" t="s">
        <v>243</v>
      </c>
    </row>
    <row r="3" spans="1:6" x14ac:dyDescent="0.55000000000000004">
      <c r="A3" s="1" t="s">
        <v>245</v>
      </c>
    </row>
    <row r="4" spans="1:6" x14ac:dyDescent="0.55000000000000004">
      <c r="C4" s="1">
        <v>2680</v>
      </c>
      <c r="D4" s="1" t="s">
        <v>153</v>
      </c>
      <c r="E4" s="1" t="s">
        <v>246</v>
      </c>
    </row>
    <row r="5" spans="1:6" x14ac:dyDescent="0.55000000000000004">
      <c r="B5" s="1" t="s">
        <v>247</v>
      </c>
      <c r="C5" s="1">
        <f>C4/0.938</f>
        <v>2857.1428571428573</v>
      </c>
      <c r="D5" s="1" t="s">
        <v>153</v>
      </c>
    </row>
    <row r="6" spans="1:6" x14ac:dyDescent="0.55000000000000004">
      <c r="B6" s="1" t="s">
        <v>248</v>
      </c>
    </row>
    <row r="7" spans="1:6" x14ac:dyDescent="0.55000000000000004">
      <c r="C7" s="1">
        <f>C5*3.6</f>
        <v>10285.714285714286</v>
      </c>
      <c r="D7" s="1" t="s">
        <v>249</v>
      </c>
    </row>
    <row r="8" spans="1:6" x14ac:dyDescent="0.55000000000000004">
      <c r="C8" s="1">
        <f>C7/10</f>
        <v>1028.5714285714287</v>
      </c>
      <c r="D8" s="1" t="s">
        <v>243</v>
      </c>
    </row>
    <row r="9" spans="1:6" x14ac:dyDescent="0.55000000000000004">
      <c r="B9" s="1" t="s">
        <v>250</v>
      </c>
    </row>
    <row r="10" spans="1:6" x14ac:dyDescent="0.55000000000000004">
      <c r="C10" s="1">
        <f>C5*9.76</f>
        <v>27885.714285714286</v>
      </c>
      <c r="D10" s="1" t="s">
        <v>249</v>
      </c>
      <c r="E10" s="1">
        <f>C5*8.54</f>
        <v>24400</v>
      </c>
      <c r="F10" s="1" t="s">
        <v>249</v>
      </c>
    </row>
    <row r="11" spans="1:6" x14ac:dyDescent="0.55000000000000004">
      <c r="C11" s="1">
        <f>C10/10</f>
        <v>2788.5714285714284</v>
      </c>
      <c r="D11" s="1" t="s">
        <v>243</v>
      </c>
      <c r="E11" s="1">
        <f>E10/10</f>
        <v>2440</v>
      </c>
      <c r="F11" s="1" t="s">
        <v>243</v>
      </c>
    </row>
    <row r="12" spans="1:6" x14ac:dyDescent="0.55000000000000004">
      <c r="B12" s="1" t="s">
        <v>251</v>
      </c>
    </row>
    <row r="13" spans="1:6" x14ac:dyDescent="0.55000000000000004">
      <c r="C13" s="3">
        <f>B2-C8</f>
        <v>1014.4285714285713</v>
      </c>
      <c r="D13" s="1" t="s">
        <v>243</v>
      </c>
    </row>
    <row r="14" spans="1:6" x14ac:dyDescent="0.55000000000000004">
      <c r="B14" s="1" t="s">
        <v>98</v>
      </c>
    </row>
    <row r="15" spans="1:6" x14ac:dyDescent="0.55000000000000004">
      <c r="C15" s="3">
        <f>C11+C13</f>
        <v>3803</v>
      </c>
      <c r="D15" s="1" t="s">
        <v>243</v>
      </c>
      <c r="E15" s="3">
        <f>E11+C13</f>
        <v>3454.4285714285716</v>
      </c>
    </row>
    <row r="17" spans="2:2" x14ac:dyDescent="0.55000000000000004">
      <c r="B17" s="5" t="s">
        <v>252</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AFD1-3D72-4AE5-A7F7-ED385A9A2C8B}">
  <dimension ref="A1:I135"/>
  <sheetViews>
    <sheetView workbookViewId="0">
      <selection activeCell="B18" sqref="B18"/>
    </sheetView>
  </sheetViews>
  <sheetFormatPr defaultRowHeight="15" x14ac:dyDescent="0.55000000000000004"/>
  <cols>
    <col min="1" max="1" width="2.25" style="1" customWidth="1"/>
    <col min="2" max="16384" width="8.6640625" style="1"/>
  </cols>
  <sheetData>
    <row r="1" spans="1:9" ht="18" x14ac:dyDescent="0.55000000000000004">
      <c r="A1" s="128" t="s">
        <v>819</v>
      </c>
    </row>
    <row r="2" spans="1:9" x14ac:dyDescent="0.55000000000000004">
      <c r="B2" s="1" t="s">
        <v>804</v>
      </c>
    </row>
    <row r="3" spans="1:9" x14ac:dyDescent="0.55000000000000004">
      <c r="B3" s="1" t="s">
        <v>805</v>
      </c>
    </row>
    <row r="4" spans="1:9" x14ac:dyDescent="0.55000000000000004">
      <c r="B4" s="1" t="s">
        <v>806</v>
      </c>
    </row>
    <row r="16" spans="1:9" x14ac:dyDescent="0.55000000000000004">
      <c r="C16" s="1" t="s">
        <v>853</v>
      </c>
      <c r="I16" s="1" t="s">
        <v>854</v>
      </c>
    </row>
    <row r="18" spans="1:2" x14ac:dyDescent="0.55000000000000004">
      <c r="B18" s="1" t="s">
        <v>807</v>
      </c>
    </row>
    <row r="19" spans="1:2" x14ac:dyDescent="0.55000000000000004">
      <c r="B19" s="4" t="s">
        <v>808</v>
      </c>
    </row>
    <row r="20" spans="1:2" x14ac:dyDescent="0.55000000000000004">
      <c r="B20" s="1" t="s">
        <v>809</v>
      </c>
    </row>
    <row r="21" spans="1:2" x14ac:dyDescent="0.55000000000000004">
      <c r="B21" s="4" t="s">
        <v>810</v>
      </c>
    </row>
    <row r="22" spans="1:2" x14ac:dyDescent="0.55000000000000004">
      <c r="B22" s="1" t="s">
        <v>817</v>
      </c>
    </row>
    <row r="23" spans="1:2" x14ac:dyDescent="0.55000000000000004">
      <c r="B23" s="1" t="s">
        <v>811</v>
      </c>
    </row>
    <row r="24" spans="1:2" x14ac:dyDescent="0.55000000000000004">
      <c r="B24" s="4" t="s">
        <v>812</v>
      </c>
    </row>
    <row r="25" spans="1:2" x14ac:dyDescent="0.55000000000000004">
      <c r="B25" s="1" t="s">
        <v>813</v>
      </c>
    </row>
    <row r="26" spans="1:2" x14ac:dyDescent="0.55000000000000004">
      <c r="B26" s="1" t="s">
        <v>818</v>
      </c>
    </row>
    <row r="27" spans="1:2" x14ac:dyDescent="0.55000000000000004">
      <c r="B27" s="1" t="s">
        <v>814</v>
      </c>
    </row>
    <row r="28" spans="1:2" x14ac:dyDescent="0.55000000000000004">
      <c r="B28" s="4" t="s">
        <v>815</v>
      </c>
    </row>
    <row r="29" spans="1:2" x14ac:dyDescent="0.55000000000000004">
      <c r="B29" s="1" t="s">
        <v>816</v>
      </c>
    </row>
    <row r="30" spans="1:2" s="117" customFormat="1" ht="18" x14ac:dyDescent="0.55000000000000004">
      <c r="A30" s="128" t="s">
        <v>832</v>
      </c>
    </row>
    <row r="31" spans="1:2" s="2" customFormat="1" x14ac:dyDescent="0.55000000000000004">
      <c r="A31" s="51"/>
      <c r="B31" s="51" t="s">
        <v>826</v>
      </c>
    </row>
    <row r="32" spans="1:2" x14ac:dyDescent="0.55000000000000004">
      <c r="B32" s="1" t="s">
        <v>820</v>
      </c>
    </row>
    <row r="33" spans="1:2" x14ac:dyDescent="0.55000000000000004">
      <c r="B33" s="1" t="s">
        <v>821</v>
      </c>
    </row>
    <row r="34" spans="1:2" x14ac:dyDescent="0.55000000000000004">
      <c r="B34" s="1" t="s">
        <v>822</v>
      </c>
    </row>
    <row r="35" spans="1:2" x14ac:dyDescent="0.55000000000000004">
      <c r="B35" s="1" t="s">
        <v>823</v>
      </c>
    </row>
    <row r="36" spans="1:2" x14ac:dyDescent="0.55000000000000004">
      <c r="B36" s="1" t="s">
        <v>825</v>
      </c>
    </row>
    <row r="37" spans="1:2" x14ac:dyDescent="0.55000000000000004">
      <c r="B37" s="1" t="s">
        <v>824</v>
      </c>
    </row>
    <row r="38" spans="1:2" x14ac:dyDescent="0.55000000000000004">
      <c r="B38" s="1" t="s">
        <v>861</v>
      </c>
    </row>
    <row r="39" spans="1:2" x14ac:dyDescent="0.55000000000000004">
      <c r="B39" s="1" t="s">
        <v>855</v>
      </c>
    </row>
    <row r="40" spans="1:2" x14ac:dyDescent="0.55000000000000004">
      <c r="B40" s="51" t="s">
        <v>827</v>
      </c>
    </row>
    <row r="41" spans="1:2" x14ac:dyDescent="0.55000000000000004">
      <c r="B41" s="1" t="s">
        <v>828</v>
      </c>
    </row>
    <row r="42" spans="1:2" x14ac:dyDescent="0.55000000000000004">
      <c r="B42" s="1" t="s">
        <v>856</v>
      </c>
    </row>
    <row r="43" spans="1:2" x14ac:dyDescent="0.55000000000000004">
      <c r="B43" s="1" t="s">
        <v>859</v>
      </c>
    </row>
    <row r="44" spans="1:2" x14ac:dyDescent="0.55000000000000004">
      <c r="B44" s="51" t="s">
        <v>830</v>
      </c>
    </row>
    <row r="45" spans="1:2" x14ac:dyDescent="0.55000000000000004">
      <c r="B45" s="1" t="s">
        <v>829</v>
      </c>
    </row>
    <row r="46" spans="1:2" x14ac:dyDescent="0.55000000000000004">
      <c r="B46" s="1" t="s">
        <v>857</v>
      </c>
    </row>
    <row r="47" spans="1:2" x14ac:dyDescent="0.55000000000000004">
      <c r="B47" s="1" t="s">
        <v>862</v>
      </c>
    </row>
    <row r="48" spans="1:2" ht="18" x14ac:dyDescent="0.55000000000000004">
      <c r="A48" s="128" t="s">
        <v>831</v>
      </c>
    </row>
    <row r="49" spans="1:2" x14ac:dyDescent="0.55000000000000004">
      <c r="B49" s="1" t="s">
        <v>833</v>
      </c>
    </row>
    <row r="50" spans="1:2" x14ac:dyDescent="0.55000000000000004">
      <c r="B50" s="1" t="s">
        <v>834</v>
      </c>
    </row>
    <row r="51" spans="1:2" ht="18" x14ac:dyDescent="0.55000000000000004">
      <c r="A51" s="128" t="s">
        <v>858</v>
      </c>
    </row>
    <row r="52" spans="1:2" x14ac:dyDescent="0.55000000000000004">
      <c r="B52" s="1" t="s">
        <v>860</v>
      </c>
    </row>
    <row r="53" spans="1:2" x14ac:dyDescent="0.55000000000000004">
      <c r="B53" s="1" t="s">
        <v>863</v>
      </c>
    </row>
    <row r="66" spans="2:7" x14ac:dyDescent="0.55000000000000004">
      <c r="C66" s="1" t="s">
        <v>864</v>
      </c>
      <c r="G66" s="1" t="s">
        <v>865</v>
      </c>
    </row>
    <row r="68" spans="2:7" x14ac:dyDescent="0.55000000000000004">
      <c r="B68" s="1" t="s">
        <v>866</v>
      </c>
    </row>
    <row r="69" spans="2:7" x14ac:dyDescent="0.55000000000000004">
      <c r="B69" s="1" t="s">
        <v>867</v>
      </c>
    </row>
    <row r="70" spans="2:7" x14ac:dyDescent="0.55000000000000004">
      <c r="B70" s="1" t="s">
        <v>868</v>
      </c>
    </row>
    <row r="71" spans="2:7" x14ac:dyDescent="0.55000000000000004">
      <c r="B71" s="1" t="s">
        <v>869</v>
      </c>
    </row>
    <row r="72" spans="2:7" x14ac:dyDescent="0.55000000000000004">
      <c r="B72" s="1" t="s">
        <v>870</v>
      </c>
    </row>
    <row r="73" spans="2:7" x14ac:dyDescent="0.55000000000000004">
      <c r="B73" s="1" t="s">
        <v>878</v>
      </c>
    </row>
    <row r="74" spans="2:7" x14ac:dyDescent="0.55000000000000004">
      <c r="B74" s="4" t="s">
        <v>879</v>
      </c>
    </row>
    <row r="75" spans="2:7" x14ac:dyDescent="0.55000000000000004">
      <c r="B75" s="2" t="s">
        <v>881</v>
      </c>
    </row>
    <row r="76" spans="2:7" x14ac:dyDescent="0.55000000000000004">
      <c r="B76" s="1" t="s">
        <v>871</v>
      </c>
    </row>
    <row r="77" spans="2:7" x14ac:dyDescent="0.55000000000000004">
      <c r="B77" s="1" t="s">
        <v>873</v>
      </c>
    </row>
    <row r="78" spans="2:7" x14ac:dyDescent="0.55000000000000004">
      <c r="B78" s="1" t="s">
        <v>872</v>
      </c>
    </row>
    <row r="79" spans="2:7" x14ac:dyDescent="0.55000000000000004">
      <c r="B79" s="1" t="s">
        <v>874</v>
      </c>
    </row>
    <row r="80" spans="2:7" x14ac:dyDescent="0.55000000000000004">
      <c r="B80" s="1" t="s">
        <v>875</v>
      </c>
    </row>
    <row r="93" spans="2:3" x14ac:dyDescent="0.55000000000000004">
      <c r="C93" s="1" t="s">
        <v>876</v>
      </c>
    </row>
    <row r="95" spans="2:3" x14ac:dyDescent="0.55000000000000004">
      <c r="B95" s="1" t="s">
        <v>877</v>
      </c>
    </row>
    <row r="96" spans="2:3" x14ac:dyDescent="0.55000000000000004">
      <c r="B96" s="4" t="s">
        <v>880</v>
      </c>
    </row>
    <row r="97" spans="2:2" x14ac:dyDescent="0.55000000000000004">
      <c r="B97" s="1" t="s">
        <v>882</v>
      </c>
    </row>
    <row r="106" spans="2:2" x14ac:dyDescent="0.55000000000000004">
      <c r="B106" s="1" t="s">
        <v>883</v>
      </c>
    </row>
    <row r="107" spans="2:2" x14ac:dyDescent="0.55000000000000004">
      <c r="B107" s="1" t="s">
        <v>835</v>
      </c>
    </row>
    <row r="108" spans="2:2" x14ac:dyDescent="0.55000000000000004">
      <c r="B108" s="1" t="s">
        <v>884</v>
      </c>
    </row>
    <row r="109" spans="2:2" x14ac:dyDescent="0.55000000000000004">
      <c r="B109" s="4" t="s">
        <v>885</v>
      </c>
    </row>
    <row r="110" spans="2:2" x14ac:dyDescent="0.55000000000000004">
      <c r="B110" s="1" t="s">
        <v>887</v>
      </c>
    </row>
    <row r="122" spans="2:2" x14ac:dyDescent="0.55000000000000004">
      <c r="B122" s="1" t="s">
        <v>836</v>
      </c>
    </row>
    <row r="123" spans="2:2" x14ac:dyDescent="0.55000000000000004">
      <c r="B123" s="1" t="s">
        <v>886</v>
      </c>
    </row>
    <row r="125" spans="2:2" x14ac:dyDescent="0.55000000000000004">
      <c r="B125" s="1" t="s">
        <v>888</v>
      </c>
    </row>
    <row r="126" spans="2:2" x14ac:dyDescent="0.55000000000000004">
      <c r="B126" s="1" t="s">
        <v>889</v>
      </c>
    </row>
    <row r="127" spans="2:2" x14ac:dyDescent="0.55000000000000004">
      <c r="B127" s="1" t="s">
        <v>890</v>
      </c>
    </row>
    <row r="128" spans="2:2" x14ac:dyDescent="0.55000000000000004">
      <c r="B128" s="1" t="s">
        <v>891</v>
      </c>
    </row>
    <row r="129" spans="1:2" ht="18" x14ac:dyDescent="0.55000000000000004">
      <c r="A129" s="128" t="s">
        <v>837</v>
      </c>
    </row>
    <row r="130" spans="1:2" x14ac:dyDescent="0.55000000000000004">
      <c r="B130" s="1" t="s">
        <v>838</v>
      </c>
    </row>
    <row r="131" spans="1:2" x14ac:dyDescent="0.55000000000000004">
      <c r="B131" s="1" t="s">
        <v>839</v>
      </c>
    </row>
    <row r="132" spans="1:2" x14ac:dyDescent="0.55000000000000004">
      <c r="B132" s="1" t="s">
        <v>840</v>
      </c>
    </row>
    <row r="133" spans="1:2" x14ac:dyDescent="0.55000000000000004">
      <c r="B133" s="1" t="s">
        <v>841</v>
      </c>
    </row>
    <row r="134" spans="1:2" x14ac:dyDescent="0.55000000000000004">
      <c r="B134" s="1" t="s">
        <v>842</v>
      </c>
    </row>
    <row r="135" spans="1:2" x14ac:dyDescent="0.55000000000000004">
      <c r="B135" s="1" t="s">
        <v>843</v>
      </c>
    </row>
  </sheetData>
  <sheetProtection algorithmName="SHA-512" hashValue="Qd/f/Tig6yuz6uktU/s7a8QC7zqGUMXgqf48UNHa6koQ6ZgCiqTcYRedcUOgU6/yspUkmZJplovW7Hu7udiNhw==" saltValue="Z+4pB+Fwq4A4+JTHIr7q2g==" spinCount="100000" sheet="1" objects="1" scenarios="1"/>
  <phoneticPr fontId="1"/>
  <pageMargins left="0.7" right="0.7" top="0.75" bottom="0.75" header="0.3" footer="0.3"/>
  <pageSetup paperSize="9" orientation="portrait" horizont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56DF-3E92-4F9B-A47D-BE1F31B140B4}">
  <dimension ref="A1:W313"/>
  <sheetViews>
    <sheetView topLeftCell="A13" zoomScaleNormal="100" workbookViewId="0">
      <selection activeCell="I94" sqref="I94"/>
    </sheetView>
  </sheetViews>
  <sheetFormatPr defaultColWidth="8.58203125" defaultRowHeight="15" x14ac:dyDescent="0.55000000000000004"/>
  <cols>
    <col min="1" max="1" width="6.58203125" style="1" customWidth="1"/>
    <col min="2" max="16384" width="8.58203125" style="1"/>
  </cols>
  <sheetData>
    <row r="1" spans="1:17" ht="22.5" x14ac:dyDescent="0.55000000000000004">
      <c r="A1" s="70" t="s">
        <v>380</v>
      </c>
    </row>
    <row r="3" spans="1:17" ht="20" x14ac:dyDescent="0.55000000000000004">
      <c r="A3" s="71" t="s">
        <v>526</v>
      </c>
    </row>
    <row r="4" spans="1:17" x14ac:dyDescent="0.55000000000000004">
      <c r="B4" s="1" t="s">
        <v>524</v>
      </c>
    </row>
    <row r="5" spans="1:17" x14ac:dyDescent="0.55000000000000004">
      <c r="B5" s="4" t="s">
        <v>335</v>
      </c>
    </row>
    <row r="6" spans="1:17" x14ac:dyDescent="0.55000000000000004">
      <c r="B6" s="1" t="s">
        <v>336</v>
      </c>
      <c r="F6" s="4"/>
      <c r="G6" s="4"/>
      <c r="H6" s="4"/>
      <c r="I6" s="4"/>
      <c r="J6" s="4"/>
    </row>
    <row r="7" spans="1:17" x14ac:dyDescent="0.55000000000000004">
      <c r="B7" s="4" t="s">
        <v>319</v>
      </c>
      <c r="F7" s="10"/>
      <c r="G7" s="10"/>
      <c r="H7" s="10"/>
      <c r="I7" s="10"/>
      <c r="J7" s="10"/>
    </row>
    <row r="8" spans="1:17" x14ac:dyDescent="0.55000000000000004">
      <c r="B8" s="4" t="s">
        <v>320</v>
      </c>
      <c r="F8" s="23"/>
      <c r="G8" s="23"/>
      <c r="H8" s="23"/>
      <c r="I8" s="23"/>
      <c r="J8" s="23"/>
      <c r="K8" s="14"/>
      <c r="L8" s="14"/>
      <c r="M8" s="14"/>
      <c r="N8" s="14"/>
      <c r="O8" s="14"/>
      <c r="P8" s="14"/>
      <c r="Q8" s="14"/>
    </row>
    <row r="9" spans="1:17" x14ac:dyDescent="0.55000000000000004">
      <c r="B9" s="1" t="s">
        <v>802</v>
      </c>
      <c r="F9" s="23"/>
      <c r="G9" s="23"/>
      <c r="H9" s="23"/>
      <c r="I9" s="23"/>
      <c r="J9" s="23"/>
      <c r="K9" s="14"/>
      <c r="L9" s="14"/>
      <c r="M9" s="14"/>
      <c r="N9" s="14"/>
      <c r="O9" s="14"/>
      <c r="P9" s="14"/>
      <c r="Q9" s="14"/>
    </row>
    <row r="10" spans="1:17" x14ac:dyDescent="0.55000000000000004">
      <c r="B10" s="137" t="s">
        <v>321</v>
      </c>
      <c r="C10" s="137"/>
      <c r="D10" s="137"/>
      <c r="E10" s="7">
        <v>1</v>
      </c>
      <c r="F10" s="7">
        <v>0.9</v>
      </c>
      <c r="G10" s="7">
        <v>0.85</v>
      </c>
      <c r="H10" s="7">
        <v>0.8</v>
      </c>
      <c r="I10" s="7">
        <v>0.75</v>
      </c>
      <c r="J10" s="7">
        <v>0.65</v>
      </c>
    </row>
    <row r="11" spans="1:17" x14ac:dyDescent="0.55000000000000004">
      <c r="B11" s="137" t="s">
        <v>322</v>
      </c>
      <c r="C11" s="137"/>
      <c r="D11" s="137"/>
      <c r="E11" s="7">
        <v>80.7</v>
      </c>
      <c r="F11" s="7">
        <v>74.8</v>
      </c>
      <c r="G11" s="7">
        <v>71.8</v>
      </c>
      <c r="H11" s="7">
        <v>68.8</v>
      </c>
      <c r="I11" s="7">
        <v>65.8</v>
      </c>
      <c r="J11" s="7">
        <v>59.9</v>
      </c>
    </row>
    <row r="12" spans="1:17" x14ac:dyDescent="0.55000000000000004">
      <c r="B12" s="36" t="s">
        <v>528</v>
      </c>
      <c r="C12" s="33"/>
      <c r="D12" s="33"/>
      <c r="E12" s="34"/>
      <c r="F12" s="35"/>
      <c r="G12" s="35"/>
      <c r="H12" s="35"/>
      <c r="I12" s="34"/>
      <c r="J12" s="34"/>
    </row>
    <row r="13" spans="1:17" x14ac:dyDescent="0.55000000000000004">
      <c r="B13" s="36" t="s">
        <v>609</v>
      </c>
      <c r="C13" s="33"/>
      <c r="D13" s="33"/>
      <c r="E13" s="34"/>
      <c r="F13" s="35"/>
      <c r="G13" s="35"/>
      <c r="H13" s="35"/>
      <c r="I13" s="34"/>
      <c r="J13" s="34"/>
    </row>
    <row r="14" spans="1:17" x14ac:dyDescent="0.55000000000000004">
      <c r="B14" s="38" t="s">
        <v>323</v>
      </c>
      <c r="C14" s="33"/>
      <c r="D14" s="33"/>
      <c r="E14" s="34"/>
      <c r="F14" s="35"/>
      <c r="G14" s="35"/>
      <c r="H14" s="35"/>
      <c r="I14" s="34"/>
      <c r="J14" s="34"/>
    </row>
    <row r="15" spans="1:17" x14ac:dyDescent="0.55000000000000004">
      <c r="B15" s="39" t="s">
        <v>458</v>
      </c>
      <c r="C15" s="33"/>
      <c r="D15" s="33"/>
      <c r="E15" s="34"/>
      <c r="F15" s="35"/>
      <c r="G15" s="35"/>
      <c r="H15" s="35"/>
      <c r="I15" s="34"/>
      <c r="J15" s="34"/>
    </row>
    <row r="16" spans="1:17" x14ac:dyDescent="0.55000000000000004">
      <c r="B16" s="39" t="s">
        <v>460</v>
      </c>
      <c r="C16" s="33"/>
      <c r="D16" s="33"/>
      <c r="E16" s="34"/>
      <c r="F16" s="35"/>
      <c r="G16" s="35"/>
      <c r="H16" s="35"/>
      <c r="I16" s="34"/>
      <c r="J16" s="34"/>
    </row>
    <row r="17" spans="1:17" x14ac:dyDescent="0.55000000000000004">
      <c r="B17" s="1" t="s">
        <v>459</v>
      </c>
      <c r="C17" s="33"/>
      <c r="D17" s="33"/>
      <c r="E17" s="34"/>
      <c r="F17" s="35"/>
      <c r="G17" s="35"/>
      <c r="H17" s="35"/>
      <c r="I17" s="34"/>
      <c r="J17" s="34"/>
    </row>
    <row r="18" spans="1:17" ht="15.5" thickBot="1" x14ac:dyDescent="0.6">
      <c r="B18" s="37"/>
      <c r="C18" s="33"/>
      <c r="D18" s="33"/>
      <c r="E18" s="34"/>
      <c r="F18" s="35"/>
      <c r="G18" s="35"/>
      <c r="H18" s="35"/>
      <c r="I18" s="34"/>
      <c r="J18" s="34"/>
    </row>
    <row r="19" spans="1:17" ht="16" thickTop="1" thickBot="1" x14ac:dyDescent="0.6">
      <c r="B19" s="72" t="s">
        <v>339</v>
      </c>
      <c r="C19" s="73"/>
      <c r="D19" s="73"/>
      <c r="E19" s="74"/>
      <c r="F19" s="75"/>
      <c r="G19" s="76"/>
      <c r="H19" s="35"/>
      <c r="I19" s="34"/>
      <c r="J19" s="34"/>
    </row>
    <row r="20" spans="1:17" ht="15.5" thickTop="1" x14ac:dyDescent="0.55000000000000004">
      <c r="B20" s="36"/>
      <c r="C20" s="33"/>
      <c r="D20" s="33"/>
      <c r="E20" s="34"/>
      <c r="F20" s="35"/>
      <c r="G20" s="35"/>
      <c r="H20" s="35"/>
      <c r="I20" s="34"/>
      <c r="J20" s="34"/>
    </row>
    <row r="21" spans="1:17" x14ac:dyDescent="0.55000000000000004">
      <c r="B21" s="36" t="s">
        <v>340</v>
      </c>
      <c r="C21" s="33"/>
      <c r="D21" s="33"/>
      <c r="E21" s="34"/>
      <c r="F21" s="35"/>
      <c r="G21" s="35"/>
      <c r="H21" s="35"/>
      <c r="I21" s="34"/>
      <c r="J21" s="34"/>
    </row>
    <row r="22" spans="1:17" x14ac:dyDescent="0.55000000000000004">
      <c r="B22" s="153" t="s">
        <v>332</v>
      </c>
      <c r="C22" s="153"/>
      <c r="D22" s="8" t="s">
        <v>346</v>
      </c>
      <c r="E22" s="34"/>
      <c r="F22" s="35"/>
      <c r="G22" s="35"/>
      <c r="H22" s="35"/>
      <c r="I22" s="34"/>
      <c r="J22" s="34"/>
    </row>
    <row r="23" spans="1:17" ht="15.5" thickBot="1" x14ac:dyDescent="0.6">
      <c r="B23" s="36"/>
      <c r="C23" s="33"/>
      <c r="D23" s="33"/>
      <c r="E23" s="34"/>
      <c r="F23" s="35"/>
      <c r="G23" s="35"/>
      <c r="H23" s="35"/>
      <c r="I23" s="34"/>
      <c r="J23" s="34"/>
    </row>
    <row r="24" spans="1:17" s="14" customFormat="1" ht="16" thickTop="1" thickBot="1" x14ac:dyDescent="0.6">
      <c r="B24" s="72" t="s">
        <v>341</v>
      </c>
      <c r="C24" s="73"/>
      <c r="D24" s="73"/>
      <c r="E24" s="73"/>
      <c r="F24" s="77"/>
      <c r="G24" s="78"/>
      <c r="H24" s="43"/>
      <c r="J24" s="43"/>
      <c r="L24" s="43"/>
      <c r="N24" s="43"/>
    </row>
    <row r="25" spans="1:17" s="14" customFormat="1" ht="15.5" thickTop="1" x14ac:dyDescent="0.55000000000000004">
      <c r="B25" s="50"/>
      <c r="C25" s="50"/>
      <c r="D25" s="50"/>
      <c r="E25" s="50"/>
      <c r="F25" s="43"/>
      <c r="H25" s="43"/>
      <c r="J25" s="43"/>
      <c r="L25" s="43"/>
      <c r="N25" s="43"/>
    </row>
    <row r="26" spans="1:17" s="14" customFormat="1" x14ac:dyDescent="0.55000000000000004">
      <c r="B26" s="54" t="s">
        <v>355</v>
      </c>
      <c r="C26" s="50"/>
      <c r="D26" s="50"/>
      <c r="E26" s="50"/>
      <c r="F26" s="43"/>
      <c r="H26" s="43"/>
      <c r="J26" s="43"/>
      <c r="L26" s="43"/>
      <c r="N26" s="43"/>
    </row>
    <row r="27" spans="1:17" x14ac:dyDescent="0.55000000000000004">
      <c r="A27" s="4"/>
      <c r="B27" s="1" t="s">
        <v>347</v>
      </c>
    </row>
    <row r="28" spans="1:17" x14ac:dyDescent="0.55000000000000004">
      <c r="A28" s="4"/>
      <c r="B28" s="137" t="s">
        <v>321</v>
      </c>
      <c r="C28" s="137"/>
      <c r="D28" s="46">
        <v>1</v>
      </c>
      <c r="E28" s="31">
        <v>0.9</v>
      </c>
      <c r="F28" s="32">
        <v>0.85</v>
      </c>
      <c r="G28" s="32">
        <v>0.8</v>
      </c>
      <c r="H28" s="32">
        <v>0.75</v>
      </c>
      <c r="I28" s="31">
        <v>0.65</v>
      </c>
    </row>
    <row r="29" spans="1:17" x14ac:dyDescent="0.55000000000000004">
      <c r="B29" s="137" t="s">
        <v>342</v>
      </c>
      <c r="C29" s="137"/>
      <c r="D29" s="7">
        <v>80.7</v>
      </c>
      <c r="E29" s="7">
        <v>74.8</v>
      </c>
      <c r="F29" s="7">
        <v>71.8</v>
      </c>
      <c r="G29" s="7">
        <v>68.8</v>
      </c>
      <c r="H29" s="7">
        <v>65.8</v>
      </c>
      <c r="I29" s="7">
        <v>59.9</v>
      </c>
      <c r="J29" s="31" t="s">
        <v>345</v>
      </c>
    </row>
    <row r="30" spans="1:17" x14ac:dyDescent="0.55000000000000004">
      <c r="B30" s="145" t="s">
        <v>312</v>
      </c>
      <c r="C30" s="145"/>
      <c r="D30" s="97">
        <v>9.1999999999999993</v>
      </c>
      <c r="E30" s="97">
        <v>6</v>
      </c>
      <c r="F30" s="97">
        <v>20.100000000000001</v>
      </c>
      <c r="G30" s="97">
        <v>33.6</v>
      </c>
      <c r="H30" s="97">
        <v>8</v>
      </c>
      <c r="I30" s="97">
        <v>23.1</v>
      </c>
      <c r="J30" s="49">
        <f>SUM(D30:I30)</f>
        <v>100</v>
      </c>
      <c r="K30" s="8" t="s">
        <v>344</v>
      </c>
    </row>
    <row r="31" spans="1:17" x14ac:dyDescent="0.55000000000000004">
      <c r="B31" s="137" t="s">
        <v>343</v>
      </c>
      <c r="C31" s="137"/>
      <c r="D31" s="7">
        <v>9.1999999999999993</v>
      </c>
      <c r="E31" s="47">
        <v>6</v>
      </c>
      <c r="F31" s="47">
        <v>20.100000000000001</v>
      </c>
      <c r="G31" s="47">
        <v>33.6</v>
      </c>
      <c r="H31" s="48">
        <v>8</v>
      </c>
      <c r="I31" s="48">
        <v>23.1</v>
      </c>
      <c r="J31" s="49">
        <f>SUM(D31:I31)</f>
        <v>100</v>
      </c>
      <c r="K31" s="14"/>
      <c r="M31" s="14"/>
      <c r="O31" s="14"/>
      <c r="P31" s="14"/>
      <c r="Q31" s="14"/>
    </row>
    <row r="32" spans="1:17" x14ac:dyDescent="0.55000000000000004">
      <c r="B32" s="145" t="s">
        <v>313</v>
      </c>
      <c r="C32" s="145"/>
      <c r="D32" s="97">
        <v>0</v>
      </c>
      <c r="E32" s="97">
        <v>0</v>
      </c>
      <c r="F32" s="97">
        <v>0</v>
      </c>
      <c r="G32" s="97">
        <v>60</v>
      </c>
      <c r="H32" s="97">
        <v>10</v>
      </c>
      <c r="I32" s="97">
        <v>30</v>
      </c>
      <c r="J32" s="49">
        <f>SUM(D32:I32)</f>
        <v>100</v>
      </c>
      <c r="K32" s="8" t="s">
        <v>344</v>
      </c>
      <c r="P32" s="14"/>
      <c r="Q32" s="14"/>
    </row>
    <row r="33" spans="1:17" x14ac:dyDescent="0.55000000000000004">
      <c r="B33" s="137" t="s">
        <v>343</v>
      </c>
      <c r="C33" s="137"/>
      <c r="D33" s="7">
        <v>0</v>
      </c>
      <c r="E33" s="32">
        <v>0</v>
      </c>
      <c r="F33" s="32">
        <v>0</v>
      </c>
      <c r="G33" s="32">
        <v>60</v>
      </c>
      <c r="H33" s="7">
        <v>10</v>
      </c>
      <c r="I33" s="7">
        <v>30</v>
      </c>
      <c r="J33" s="49">
        <f>SUM(D33:I33)</f>
        <v>100</v>
      </c>
    </row>
    <row r="34" spans="1:17" ht="15.5" thickBot="1" x14ac:dyDescent="0.6">
      <c r="C34" s="8"/>
    </row>
    <row r="35" spans="1:17" ht="16" thickTop="1" thickBot="1" x14ac:dyDescent="0.6">
      <c r="B35" s="139" t="s">
        <v>334</v>
      </c>
      <c r="C35" s="140"/>
      <c r="D35" s="140"/>
      <c r="E35" s="140"/>
      <c r="F35" s="140"/>
      <c r="G35" s="141"/>
      <c r="H35" s="10"/>
    </row>
    <row r="36" spans="1:17" ht="15.5" thickTop="1" x14ac:dyDescent="0.55000000000000004">
      <c r="B36" s="1" t="s">
        <v>599</v>
      </c>
      <c r="C36" s="4"/>
      <c r="D36" s="4"/>
      <c r="E36" s="4"/>
      <c r="F36" s="23"/>
      <c r="G36" s="23"/>
      <c r="H36" s="23"/>
      <c r="I36" s="23"/>
      <c r="J36" s="23"/>
      <c r="K36" s="14"/>
      <c r="L36" s="14"/>
      <c r="M36" s="14"/>
      <c r="N36" s="14"/>
      <c r="O36" s="14"/>
      <c r="P36" s="14"/>
      <c r="Q36" s="14"/>
    </row>
    <row r="37" spans="1:17" x14ac:dyDescent="0.55000000000000004">
      <c r="F37" s="10"/>
      <c r="G37" s="10"/>
      <c r="H37" s="10"/>
    </row>
    <row r="38" spans="1:17" x14ac:dyDescent="0.55000000000000004">
      <c r="B38" s="137"/>
      <c r="C38" s="137"/>
      <c r="D38" s="137"/>
      <c r="E38" s="41" t="s">
        <v>307</v>
      </c>
      <c r="F38" s="41" t="s">
        <v>308</v>
      </c>
      <c r="G38" s="120" t="s">
        <v>309</v>
      </c>
      <c r="H38" s="121"/>
      <c r="I38" s="101"/>
      <c r="J38" s="101"/>
    </row>
    <row r="39" spans="1:17" x14ac:dyDescent="0.55000000000000004">
      <c r="A39" s="4"/>
      <c r="B39" s="145" t="s">
        <v>608</v>
      </c>
      <c r="C39" s="145"/>
      <c r="D39" s="145"/>
      <c r="E39" s="98" t="s">
        <v>602</v>
      </c>
      <c r="F39" s="98" t="s">
        <v>901</v>
      </c>
      <c r="G39" s="98" t="s">
        <v>606</v>
      </c>
    </row>
    <row r="40" spans="1:17" x14ac:dyDescent="0.55000000000000004">
      <c r="A40" s="4"/>
      <c r="B40" s="145" t="s">
        <v>284</v>
      </c>
      <c r="C40" s="145"/>
      <c r="D40" s="145"/>
      <c r="E40" s="98" t="s">
        <v>231</v>
      </c>
      <c r="F40" s="98" t="s">
        <v>231</v>
      </c>
      <c r="G40" s="98" t="s">
        <v>299</v>
      </c>
    </row>
    <row r="41" spans="1:17" x14ac:dyDescent="0.55000000000000004">
      <c r="A41" s="4"/>
      <c r="B41" s="145" t="s">
        <v>291</v>
      </c>
      <c r="C41" s="145"/>
      <c r="D41" s="145"/>
      <c r="E41" s="98" t="s">
        <v>176</v>
      </c>
      <c r="F41" s="98" t="s">
        <v>176</v>
      </c>
      <c r="G41" s="98" t="s">
        <v>176</v>
      </c>
    </row>
    <row r="42" spans="1:17" x14ac:dyDescent="0.55000000000000004">
      <c r="A42" s="4"/>
      <c r="B42" s="145" t="s">
        <v>298</v>
      </c>
      <c r="C42" s="145"/>
      <c r="D42" s="145"/>
      <c r="E42" s="98" t="s">
        <v>289</v>
      </c>
      <c r="F42" s="98" t="s">
        <v>289</v>
      </c>
      <c r="G42" s="98" t="s">
        <v>289</v>
      </c>
      <c r="H42" s="8" t="s">
        <v>306</v>
      </c>
    </row>
    <row r="43" spans="1:17" x14ac:dyDescent="0.55000000000000004">
      <c r="A43" s="4"/>
      <c r="B43" s="145" t="s">
        <v>294</v>
      </c>
      <c r="C43" s="145"/>
      <c r="D43" s="145"/>
      <c r="E43" s="98" t="s">
        <v>232</v>
      </c>
      <c r="F43" s="98" t="s">
        <v>232</v>
      </c>
      <c r="G43" s="98" t="s">
        <v>232</v>
      </c>
    </row>
    <row r="44" spans="1:17" x14ac:dyDescent="0.55000000000000004">
      <c r="B44" s="145" t="s">
        <v>337</v>
      </c>
      <c r="C44" s="145"/>
      <c r="D44" s="145"/>
      <c r="E44" s="44">
        <f>SIM用基本データ!E153</f>
        <v>65.599999999999994</v>
      </c>
      <c r="F44" s="44">
        <f>SIM用基本データ!E156</f>
        <v>65.3</v>
      </c>
      <c r="G44" s="44">
        <f>SIM用基本データ!E159</f>
        <v>87.7</v>
      </c>
      <c r="H44" s="8" t="s">
        <v>378</v>
      </c>
      <c r="I44" s="101"/>
      <c r="J44" s="101"/>
    </row>
    <row r="45" spans="1:17" x14ac:dyDescent="0.55000000000000004">
      <c r="B45" s="36"/>
      <c r="C45" s="33"/>
      <c r="D45" s="33"/>
      <c r="E45" s="34"/>
      <c r="F45" s="35"/>
      <c r="G45" s="35"/>
      <c r="H45" s="35"/>
      <c r="I45" s="34"/>
      <c r="J45" s="34"/>
    </row>
    <row r="46" spans="1:17" x14ac:dyDescent="0.55000000000000004">
      <c r="B46" s="145" t="s">
        <v>338</v>
      </c>
      <c r="C46" s="145"/>
      <c r="D46" s="145"/>
      <c r="E46" s="97">
        <v>0.7</v>
      </c>
      <c r="F46" s="8" t="s">
        <v>440</v>
      </c>
      <c r="G46" s="35"/>
      <c r="H46" s="35"/>
      <c r="I46" s="34"/>
      <c r="J46" s="34"/>
    </row>
    <row r="47" spans="1:17" s="14" customFormat="1" ht="15.5" thickBot="1" x14ac:dyDescent="0.6">
      <c r="B47" s="43"/>
      <c r="D47" s="43"/>
      <c r="F47" s="43"/>
      <c r="H47" s="43"/>
      <c r="J47" s="43"/>
      <c r="L47" s="43"/>
      <c r="N47" s="43"/>
    </row>
    <row r="48" spans="1:17" s="14" customFormat="1" ht="16" thickTop="1" thickBot="1" x14ac:dyDescent="0.6">
      <c r="B48" s="139" t="s">
        <v>354</v>
      </c>
      <c r="C48" s="140"/>
      <c r="D48" s="140"/>
      <c r="E48" s="140"/>
      <c r="F48" s="140"/>
      <c r="G48" s="141"/>
      <c r="H48" s="43"/>
      <c r="J48" s="43"/>
      <c r="L48" s="43"/>
      <c r="N48" s="43"/>
    </row>
    <row r="49" spans="1:17" s="14" customFormat="1" ht="15.5" thickTop="1" x14ac:dyDescent="0.55000000000000004">
      <c r="B49" s="43"/>
      <c r="D49" s="43"/>
      <c r="F49" s="43"/>
      <c r="H49" s="43"/>
      <c r="J49" s="43"/>
      <c r="L49" s="43"/>
      <c r="N49" s="43"/>
    </row>
    <row r="50" spans="1:17" s="14" customFormat="1" x14ac:dyDescent="0.55000000000000004">
      <c r="B50" s="149"/>
      <c r="C50" s="149"/>
      <c r="D50" s="149"/>
      <c r="E50" s="41" t="s">
        <v>307</v>
      </c>
      <c r="F50" s="41" t="s">
        <v>308</v>
      </c>
      <c r="G50" s="41" t="s">
        <v>309</v>
      </c>
      <c r="H50" s="8" t="s">
        <v>461</v>
      </c>
      <c r="I50" s="101"/>
      <c r="J50" s="101"/>
      <c r="N50" s="43"/>
    </row>
    <row r="51" spans="1:17" s="14" customFormat="1" x14ac:dyDescent="0.55000000000000004">
      <c r="B51" s="146" t="s">
        <v>462</v>
      </c>
      <c r="C51" s="147"/>
      <c r="D51" s="148"/>
      <c r="E51" s="97">
        <v>30</v>
      </c>
      <c r="F51" s="97">
        <v>50</v>
      </c>
      <c r="G51" s="97">
        <v>20</v>
      </c>
      <c r="H51" s="122">
        <f>SUM(E51:G51)</f>
        <v>100</v>
      </c>
      <c r="I51" s="8" t="s">
        <v>530</v>
      </c>
      <c r="J51" s="101"/>
      <c r="N51" s="43"/>
    </row>
    <row r="52" spans="1:17" s="14" customFormat="1" x14ac:dyDescent="0.55000000000000004">
      <c r="B52" s="145" t="s">
        <v>77</v>
      </c>
      <c r="C52" s="145"/>
      <c r="D52" s="145"/>
      <c r="E52" s="97">
        <v>0</v>
      </c>
      <c r="F52" s="97">
        <v>60</v>
      </c>
      <c r="G52" s="97">
        <v>40</v>
      </c>
      <c r="H52" s="122">
        <f t="shared" ref="H52:H53" si="0">SUM(E52:G52)</f>
        <v>100</v>
      </c>
      <c r="I52" s="123"/>
      <c r="J52" s="123"/>
      <c r="L52" s="8"/>
      <c r="N52" s="43"/>
    </row>
    <row r="53" spans="1:17" s="14" customFormat="1" x14ac:dyDescent="0.55000000000000004">
      <c r="B53" s="145" t="s">
        <v>78</v>
      </c>
      <c r="C53" s="145"/>
      <c r="D53" s="145"/>
      <c r="E53" s="97">
        <v>0</v>
      </c>
      <c r="F53" s="97">
        <v>20</v>
      </c>
      <c r="G53" s="97">
        <v>80</v>
      </c>
      <c r="H53" s="122">
        <f t="shared" si="0"/>
        <v>100</v>
      </c>
      <c r="I53" s="123"/>
      <c r="J53" s="123"/>
      <c r="L53" s="8"/>
      <c r="N53" s="43"/>
    </row>
    <row r="54" spans="1:17" ht="15.5" thickBot="1" x14ac:dyDescent="0.6">
      <c r="A54" s="4"/>
    </row>
    <row r="55" spans="1:17" ht="16" thickTop="1" thickBot="1" x14ac:dyDescent="0.6">
      <c r="A55" s="4"/>
      <c r="B55" s="79" t="s">
        <v>370</v>
      </c>
      <c r="C55" s="80"/>
      <c r="D55" s="80"/>
      <c r="E55" s="80"/>
      <c r="F55" s="80"/>
      <c r="G55" s="81"/>
    </row>
    <row r="56" spans="1:17" ht="15.5" thickTop="1" x14ac:dyDescent="0.55000000000000004">
      <c r="C56" s="64" t="s">
        <v>379</v>
      </c>
      <c r="F56" s="13"/>
      <c r="G56" s="13"/>
      <c r="H56" s="13"/>
      <c r="I56" s="13"/>
      <c r="J56" s="13"/>
    </row>
    <row r="57" spans="1:17" x14ac:dyDescent="0.55000000000000004">
      <c r="F57" s="23"/>
      <c r="G57" s="23"/>
      <c r="H57" s="23"/>
      <c r="I57" s="23"/>
      <c r="J57" s="23"/>
      <c r="K57" s="14"/>
      <c r="L57" s="14"/>
      <c r="M57" s="14"/>
      <c r="N57" s="14"/>
      <c r="O57" s="14"/>
      <c r="P57" s="14"/>
      <c r="Q57" s="14"/>
    </row>
    <row r="58" spans="1:17" x14ac:dyDescent="0.55000000000000004">
      <c r="A58" s="4"/>
      <c r="B58" s="4"/>
      <c r="F58" s="45" t="s">
        <v>362</v>
      </c>
      <c r="G58" s="45" t="s">
        <v>363</v>
      </c>
      <c r="H58" s="59" t="s">
        <v>395</v>
      </c>
      <c r="L58" s="100"/>
      <c r="M58" s="100"/>
      <c r="N58" s="100"/>
      <c r="O58" s="100"/>
      <c r="P58" s="100"/>
      <c r="Q58" s="100"/>
    </row>
    <row r="59" spans="1:17" x14ac:dyDescent="0.55000000000000004">
      <c r="A59" s="4"/>
      <c r="C59" s="145" t="s">
        <v>358</v>
      </c>
      <c r="D59" s="145"/>
      <c r="E59" s="145"/>
      <c r="F59" s="55">
        <f>ROUND(R206,1)</f>
        <v>165</v>
      </c>
      <c r="G59" s="7">
        <f>共同住宅の計算!G24</f>
        <v>88.5</v>
      </c>
      <c r="H59" s="41">
        <f>F59+G59</f>
        <v>253.5</v>
      </c>
      <c r="I59" s="1" t="s">
        <v>359</v>
      </c>
      <c r="L59" s="102"/>
      <c r="M59" s="102"/>
      <c r="N59" s="102"/>
      <c r="O59" s="101"/>
      <c r="P59" s="100"/>
      <c r="Q59" s="100"/>
    </row>
    <row r="60" spans="1:17" x14ac:dyDescent="0.55000000000000004">
      <c r="C60" s="145" t="s">
        <v>360</v>
      </c>
      <c r="D60" s="145"/>
      <c r="E60" s="145"/>
      <c r="F60" s="44">
        <f>ROUND(P206,1)</f>
        <v>165</v>
      </c>
      <c r="G60" s="7">
        <f>共同住宅の計算!G25</f>
        <v>88.5</v>
      </c>
      <c r="H60" s="41">
        <f t="shared" ref="H60:H61" si="1">F60+G60</f>
        <v>253.5</v>
      </c>
      <c r="I60" s="1" t="s">
        <v>359</v>
      </c>
      <c r="L60" s="104"/>
      <c r="M60" s="104"/>
      <c r="N60" s="104"/>
      <c r="O60" s="100"/>
      <c r="P60" s="100"/>
      <c r="Q60" s="100"/>
    </row>
    <row r="61" spans="1:17" ht="18" customHeight="1" x14ac:dyDescent="0.55000000000000004">
      <c r="C61" s="150" t="s">
        <v>361</v>
      </c>
      <c r="D61" s="151"/>
      <c r="E61" s="152"/>
      <c r="F61" s="56">
        <f>F60-F59</f>
        <v>0</v>
      </c>
      <c r="G61" s="7">
        <f>共同住宅の計算!G26</f>
        <v>0</v>
      </c>
      <c r="H61" s="41">
        <f t="shared" si="1"/>
        <v>0</v>
      </c>
      <c r="I61" s="1" t="s">
        <v>359</v>
      </c>
      <c r="J61" s="4"/>
      <c r="L61" s="102"/>
      <c r="M61" s="102"/>
      <c r="N61" s="102"/>
      <c r="O61" s="101"/>
      <c r="P61" s="99"/>
      <c r="Q61" s="100"/>
    </row>
    <row r="62" spans="1:17" x14ac:dyDescent="0.55000000000000004">
      <c r="F62" s="23"/>
      <c r="G62" s="57" t="s">
        <v>383</v>
      </c>
      <c r="H62" s="23"/>
      <c r="I62" s="23"/>
      <c r="J62" s="23"/>
      <c r="K62" s="14"/>
      <c r="L62" s="102"/>
      <c r="M62" s="102"/>
      <c r="N62" s="102"/>
      <c r="O62" s="101"/>
      <c r="P62" s="100"/>
      <c r="Q62" s="100"/>
    </row>
    <row r="63" spans="1:17" x14ac:dyDescent="0.55000000000000004">
      <c r="F63" s="13"/>
      <c r="G63" s="13"/>
      <c r="H63" s="13"/>
      <c r="I63" s="13"/>
      <c r="J63" s="13"/>
      <c r="L63" s="102"/>
      <c r="M63" s="102"/>
      <c r="N63" s="102"/>
      <c r="O63" s="100"/>
      <c r="P63" s="103"/>
      <c r="Q63" s="100"/>
    </row>
    <row r="64" spans="1:17" ht="20" x14ac:dyDescent="0.55000000000000004">
      <c r="A64" s="71" t="s">
        <v>527</v>
      </c>
    </row>
    <row r="65" spans="1:17" x14ac:dyDescent="0.55000000000000004">
      <c r="A65" s="4"/>
      <c r="B65" s="1" t="s">
        <v>525</v>
      </c>
    </row>
    <row r="66" spans="1:17" x14ac:dyDescent="0.55000000000000004">
      <c r="A66" s="4"/>
    </row>
    <row r="67" spans="1:17" x14ac:dyDescent="0.55000000000000004">
      <c r="A67" s="4"/>
      <c r="B67" s="145" t="s">
        <v>115</v>
      </c>
      <c r="C67" s="145"/>
      <c r="D67" s="145"/>
      <c r="E67" s="97">
        <v>25</v>
      </c>
      <c r="F67" s="1" t="s">
        <v>47</v>
      </c>
      <c r="G67" s="8" t="s">
        <v>671</v>
      </c>
    </row>
    <row r="68" spans="1:17" x14ac:dyDescent="0.55000000000000004">
      <c r="A68" s="4"/>
      <c r="B68" s="83"/>
      <c r="C68" s="83"/>
      <c r="D68" s="83"/>
      <c r="E68" s="123"/>
      <c r="G68" s="8" t="s">
        <v>672</v>
      </c>
      <c r="L68" s="127">
        <f>E67*F211</f>
        <v>23.7</v>
      </c>
      <c r="M68" s="1" t="s">
        <v>47</v>
      </c>
    </row>
    <row r="69" spans="1:17" x14ac:dyDescent="0.55000000000000004">
      <c r="E69" s="14"/>
    </row>
    <row r="70" spans="1:17" x14ac:dyDescent="0.55000000000000004">
      <c r="B70" s="137" t="s">
        <v>116</v>
      </c>
      <c r="C70" s="154" t="s">
        <v>123</v>
      </c>
      <c r="D70" s="154"/>
      <c r="E70" s="154"/>
      <c r="F70" s="154"/>
    </row>
    <row r="71" spans="1:17" x14ac:dyDescent="0.55000000000000004">
      <c r="B71" s="137"/>
      <c r="C71" s="154" t="s">
        <v>117</v>
      </c>
      <c r="D71" s="154"/>
      <c r="E71" s="154"/>
      <c r="F71" s="154"/>
    </row>
    <row r="72" spans="1:17" x14ac:dyDescent="0.55000000000000004">
      <c r="B72" s="58" t="s">
        <v>124</v>
      </c>
      <c r="C72" s="124" t="s">
        <v>488</v>
      </c>
      <c r="D72" s="8" t="s">
        <v>369</v>
      </c>
      <c r="E72" s="14"/>
    </row>
    <row r="73" spans="1:17" x14ac:dyDescent="0.55000000000000004">
      <c r="F73" s="23"/>
      <c r="G73" s="23"/>
      <c r="H73" s="23"/>
      <c r="I73" s="23"/>
      <c r="J73" s="23"/>
      <c r="K73" s="14"/>
      <c r="L73" s="14"/>
      <c r="M73" s="14"/>
      <c r="N73" s="14"/>
      <c r="O73" s="14"/>
      <c r="P73" s="14"/>
      <c r="Q73" s="14"/>
    </row>
    <row r="74" spans="1:17" x14ac:dyDescent="0.55000000000000004">
      <c r="B74" s="4" t="s">
        <v>374</v>
      </c>
      <c r="F74" s="14"/>
    </row>
    <row r="75" spans="1:17" x14ac:dyDescent="0.55000000000000004">
      <c r="B75" s="155"/>
      <c r="C75" s="156"/>
      <c r="D75" s="7" t="s">
        <v>41</v>
      </c>
      <c r="E75" s="7" t="s">
        <v>27</v>
      </c>
      <c r="F75" s="7" t="s">
        <v>28</v>
      </c>
      <c r="G75" s="8" t="s">
        <v>375</v>
      </c>
    </row>
    <row r="76" spans="1:17" x14ac:dyDescent="0.55000000000000004">
      <c r="B76" s="7" t="s">
        <v>376</v>
      </c>
      <c r="C76" s="41" t="s">
        <v>120</v>
      </c>
      <c r="D76" s="97">
        <v>1</v>
      </c>
      <c r="E76" s="97">
        <v>1</v>
      </c>
      <c r="F76" s="97">
        <v>0.72</v>
      </c>
      <c r="G76" s="8" t="s">
        <v>529</v>
      </c>
      <c r="I76" s="14"/>
    </row>
    <row r="77" spans="1:17" x14ac:dyDescent="0.55000000000000004">
      <c r="B77" s="155" t="s">
        <v>392</v>
      </c>
      <c r="C77" s="156"/>
      <c r="D77" s="48">
        <v>1</v>
      </c>
      <c r="E77" s="48">
        <v>1</v>
      </c>
      <c r="F77" s="48">
        <v>0.72</v>
      </c>
      <c r="G77" s="8"/>
      <c r="I77" s="14"/>
    </row>
    <row r="78" spans="1:17" x14ac:dyDescent="0.55000000000000004">
      <c r="B78" s="7" t="s">
        <v>377</v>
      </c>
      <c r="C78" s="41" t="s">
        <v>120</v>
      </c>
      <c r="D78" s="97">
        <v>1</v>
      </c>
      <c r="E78" s="97">
        <v>1</v>
      </c>
      <c r="F78" s="97">
        <v>0.72</v>
      </c>
      <c r="G78" s="8" t="s">
        <v>529</v>
      </c>
    </row>
    <row r="79" spans="1:17" ht="15.5" thickBot="1" x14ac:dyDescent="0.6">
      <c r="C79" s="4"/>
      <c r="D79" s="4"/>
      <c r="E79" s="4"/>
      <c r="F79" s="23"/>
      <c r="G79" s="23"/>
      <c r="H79" s="23"/>
      <c r="I79" s="23"/>
      <c r="J79" s="23"/>
      <c r="K79" s="14"/>
      <c r="L79" s="14"/>
      <c r="M79" s="14"/>
      <c r="N79" s="14"/>
      <c r="O79" s="14"/>
      <c r="P79" s="14"/>
      <c r="Q79" s="14"/>
    </row>
    <row r="80" spans="1:17" ht="16" thickTop="1" thickBot="1" x14ac:dyDescent="0.6">
      <c r="B80" s="142" t="s">
        <v>371</v>
      </c>
      <c r="C80" s="143"/>
      <c r="D80" s="143"/>
      <c r="E80" s="143"/>
      <c r="F80" s="143"/>
      <c r="G80" s="144"/>
      <c r="H80" s="4"/>
      <c r="I80" s="4"/>
      <c r="J80" s="4"/>
    </row>
    <row r="81" spans="1:17" ht="15.5" thickTop="1" x14ac:dyDescent="0.55000000000000004">
      <c r="C81" s="64" t="s">
        <v>379</v>
      </c>
      <c r="F81" s="13"/>
      <c r="G81" s="13"/>
      <c r="H81" s="13"/>
      <c r="I81" s="13"/>
      <c r="J81" s="13"/>
    </row>
    <row r="82" spans="1:17" x14ac:dyDescent="0.55000000000000004">
      <c r="C82" s="4"/>
      <c r="F82" s="13"/>
      <c r="G82" s="13"/>
      <c r="H82" s="13"/>
      <c r="I82" s="13"/>
      <c r="J82" s="13"/>
    </row>
    <row r="83" spans="1:17" x14ac:dyDescent="0.55000000000000004">
      <c r="C83" s="137"/>
      <c r="D83" s="137"/>
      <c r="E83" s="137"/>
      <c r="F83" s="69" t="s">
        <v>372</v>
      </c>
      <c r="G83" s="69" t="s">
        <v>373</v>
      </c>
      <c r="H83" s="69" t="s">
        <v>395</v>
      </c>
      <c r="I83" s="10"/>
      <c r="J83" s="10"/>
    </row>
    <row r="84" spans="1:17" x14ac:dyDescent="0.55000000000000004">
      <c r="C84" s="145" t="s">
        <v>358</v>
      </c>
      <c r="D84" s="145"/>
      <c r="E84" s="145"/>
      <c r="F84" s="60">
        <f>ROUND(R228,1)</f>
        <v>89.3</v>
      </c>
      <c r="G84" s="32">
        <f>共同住宅の計算!G46</f>
        <v>1.7</v>
      </c>
      <c r="H84" s="41">
        <f>SUM(F84:G84)</f>
        <v>91</v>
      </c>
      <c r="I84" s="10" t="s">
        <v>211</v>
      </c>
      <c r="J84" s="10"/>
      <c r="L84" s="102"/>
      <c r="M84" s="102"/>
      <c r="N84" s="102"/>
      <c r="O84" s="101"/>
      <c r="P84" s="100"/>
    </row>
    <row r="85" spans="1:17" x14ac:dyDescent="0.55000000000000004">
      <c r="C85" s="145" t="s">
        <v>360</v>
      </c>
      <c r="D85" s="145"/>
      <c r="E85" s="145"/>
      <c r="F85" s="61">
        <f>ROUND(P228,1)</f>
        <v>89.3</v>
      </c>
      <c r="G85" s="32">
        <f>共同住宅の計算!G47</f>
        <v>1.7</v>
      </c>
      <c r="H85" s="41">
        <f t="shared" ref="H85:H86" si="2">SUM(F85:G85)</f>
        <v>91</v>
      </c>
      <c r="I85" s="10" t="s">
        <v>211</v>
      </c>
      <c r="J85" s="10"/>
      <c r="L85" s="104"/>
      <c r="M85" s="104"/>
      <c r="N85" s="104"/>
      <c r="O85" s="100"/>
      <c r="P85" s="100"/>
    </row>
    <row r="86" spans="1:17" x14ac:dyDescent="0.55000000000000004">
      <c r="C86" s="157" t="s">
        <v>361</v>
      </c>
      <c r="D86" s="157"/>
      <c r="E86" s="157"/>
      <c r="F86" s="62">
        <f>F85-F84</f>
        <v>0</v>
      </c>
      <c r="G86" s="32">
        <f>共同住宅の計算!G48</f>
        <v>0</v>
      </c>
      <c r="H86" s="41">
        <f t="shared" si="2"/>
        <v>0</v>
      </c>
      <c r="I86" s="23" t="s">
        <v>211</v>
      </c>
      <c r="J86" s="23"/>
      <c r="K86" s="14"/>
      <c r="L86" s="102"/>
      <c r="M86" s="102"/>
      <c r="N86" s="102"/>
      <c r="O86" s="101"/>
      <c r="P86" s="100"/>
      <c r="Q86" s="14"/>
    </row>
    <row r="87" spans="1:17" x14ac:dyDescent="0.55000000000000004">
      <c r="C87" s="4"/>
      <c r="D87" s="4"/>
      <c r="E87" s="133"/>
      <c r="F87" s="23"/>
      <c r="G87" s="57" t="s">
        <v>383</v>
      </c>
      <c r="H87" s="23"/>
      <c r="I87" s="23"/>
      <c r="J87" s="23"/>
      <c r="K87" s="14"/>
      <c r="L87" s="14"/>
      <c r="M87" s="14"/>
      <c r="N87" s="14"/>
      <c r="O87" s="14"/>
      <c r="P87" s="14"/>
      <c r="Q87" s="14"/>
    </row>
    <row r="89" spans="1:17" ht="20" x14ac:dyDescent="0.55000000000000004">
      <c r="A89" s="71" t="s">
        <v>574</v>
      </c>
    </row>
    <row r="90" spans="1:17" x14ac:dyDescent="0.55000000000000004">
      <c r="B90" s="1" t="s">
        <v>581</v>
      </c>
    </row>
    <row r="91" spans="1:17" x14ac:dyDescent="0.55000000000000004">
      <c r="B91" s="8" t="s">
        <v>585</v>
      </c>
    </row>
    <row r="92" spans="1:17" x14ac:dyDescent="0.55000000000000004">
      <c r="B92" s="1" t="s">
        <v>575</v>
      </c>
    </row>
    <row r="93" spans="1:17" x14ac:dyDescent="0.55000000000000004">
      <c r="B93" s="153" t="s">
        <v>572</v>
      </c>
      <c r="C93" s="153"/>
    </row>
    <row r="94" spans="1:17" ht="15.5" thickBot="1" x14ac:dyDescent="0.6"/>
    <row r="95" spans="1:17" ht="16" thickTop="1" thickBot="1" x14ac:dyDescent="0.6">
      <c r="B95" s="142" t="s">
        <v>849</v>
      </c>
      <c r="C95" s="143"/>
      <c r="D95" s="143"/>
      <c r="E95" s="143"/>
      <c r="F95" s="143"/>
      <c r="G95" s="144"/>
    </row>
    <row r="96" spans="1:17" ht="15.5" thickTop="1" x14ac:dyDescent="0.55000000000000004"/>
    <row r="97" spans="1:21" x14ac:dyDescent="0.55000000000000004">
      <c r="B97" s="145"/>
      <c r="C97" s="145"/>
      <c r="D97" s="145"/>
      <c r="E97" s="41" t="s">
        <v>41</v>
      </c>
      <c r="F97" s="41" t="s">
        <v>27</v>
      </c>
      <c r="G97" s="41" t="s">
        <v>28</v>
      </c>
      <c r="H97" s="41" t="s">
        <v>29</v>
      </c>
      <c r="I97" s="41" t="s">
        <v>30</v>
      </c>
      <c r="J97" s="41" t="s">
        <v>39</v>
      </c>
      <c r="K97" s="41" t="s">
        <v>31</v>
      </c>
      <c r="L97" s="41" t="s">
        <v>32</v>
      </c>
      <c r="M97" s="41" t="s">
        <v>33</v>
      </c>
      <c r="N97" s="41" t="s">
        <v>43</v>
      </c>
      <c r="O97" s="41" t="s">
        <v>34</v>
      </c>
      <c r="P97" s="41" t="s">
        <v>307</v>
      </c>
      <c r="Q97" s="41" t="s">
        <v>308</v>
      </c>
      <c r="R97" s="41" t="s">
        <v>309</v>
      </c>
      <c r="S97" s="84"/>
      <c r="T97" s="84"/>
      <c r="U97" s="84"/>
    </row>
    <row r="98" spans="1:21" x14ac:dyDescent="0.55000000000000004">
      <c r="B98" s="145" t="s">
        <v>576</v>
      </c>
      <c r="C98" s="145"/>
      <c r="D98" s="145"/>
      <c r="E98" s="41">
        <f>SIM用基本データ!F30</f>
        <v>134.4</v>
      </c>
      <c r="F98" s="41">
        <f>SIM用基本データ!G30</f>
        <v>93.1</v>
      </c>
      <c r="G98" s="41">
        <f>SIM用基本データ!H30</f>
        <v>90</v>
      </c>
      <c r="H98" s="41">
        <f>SIM用基本データ!I30</f>
        <v>80.7</v>
      </c>
      <c r="I98" s="41">
        <f>SIM用基本データ!J30</f>
        <v>80.7</v>
      </c>
      <c r="J98" s="41">
        <f>SIM用基本データ!K30</f>
        <v>74.8</v>
      </c>
      <c r="K98" s="41">
        <f>SIM用基本データ!L30</f>
        <v>71.8</v>
      </c>
      <c r="L98" s="41">
        <f>SIM用基本データ!M30</f>
        <v>68.8</v>
      </c>
      <c r="M98" s="41">
        <f>SIM用基本データ!N30</f>
        <v>65.8</v>
      </c>
      <c r="N98" s="41">
        <f>SIM用基本データ!O30</f>
        <v>0</v>
      </c>
      <c r="O98" s="41">
        <f>SIM用基本データ!P30</f>
        <v>59.9</v>
      </c>
      <c r="P98" s="41">
        <f>SIM用基本データ!E153</f>
        <v>65.599999999999994</v>
      </c>
      <c r="Q98" s="41">
        <f>SIM用基本データ!E156</f>
        <v>65.3</v>
      </c>
      <c r="R98" s="41">
        <f>SIM用基本データ!E159</f>
        <v>87.7</v>
      </c>
      <c r="S98" s="84"/>
      <c r="T98" s="84"/>
      <c r="U98" s="84"/>
    </row>
    <row r="99" spans="1:21" x14ac:dyDescent="0.55000000000000004">
      <c r="B99" s="145" t="s">
        <v>577</v>
      </c>
      <c r="C99" s="145"/>
      <c r="D99" s="145"/>
      <c r="E99" s="41">
        <f t="shared" ref="E99:R99" si="3">ROUND(F255,1)</f>
        <v>363</v>
      </c>
      <c r="F99" s="41">
        <f t="shared" si="3"/>
        <v>1031</v>
      </c>
      <c r="G99" s="41">
        <f t="shared" si="3"/>
        <v>515</v>
      </c>
      <c r="H99" s="41">
        <f t="shared" si="3"/>
        <v>86</v>
      </c>
      <c r="I99" s="41">
        <f t="shared" si="3"/>
        <v>246</v>
      </c>
      <c r="J99" s="41">
        <f t="shared" si="3"/>
        <v>53</v>
      </c>
      <c r="K99" s="41">
        <f t="shared" si="3"/>
        <v>202</v>
      </c>
      <c r="L99" s="41">
        <f t="shared" si="3"/>
        <v>157</v>
      </c>
      <c r="M99" s="41">
        <f t="shared" si="3"/>
        <v>36</v>
      </c>
      <c r="N99" s="41">
        <f t="shared" si="3"/>
        <v>0</v>
      </c>
      <c r="O99" s="41">
        <f t="shared" si="3"/>
        <v>103</v>
      </c>
      <c r="P99" s="41">
        <f t="shared" si="3"/>
        <v>0</v>
      </c>
      <c r="Q99" s="41">
        <f t="shared" si="3"/>
        <v>0</v>
      </c>
      <c r="R99" s="41">
        <f t="shared" si="3"/>
        <v>0</v>
      </c>
      <c r="S99" s="84"/>
      <c r="T99" s="84"/>
      <c r="U99" s="84"/>
    </row>
    <row r="100" spans="1:21" x14ac:dyDescent="0.55000000000000004">
      <c r="B100" s="145" t="s">
        <v>578</v>
      </c>
      <c r="C100" s="145"/>
      <c r="D100" s="145"/>
      <c r="E100" s="41">
        <f>ROUND(F256,0)</f>
        <v>48787</v>
      </c>
      <c r="F100" s="41">
        <f t="shared" ref="F100:N100" si="4">ROUND(G256,0)</f>
        <v>95986</v>
      </c>
      <c r="G100" s="41">
        <f t="shared" si="4"/>
        <v>46350</v>
      </c>
      <c r="H100" s="41">
        <f t="shared" si="4"/>
        <v>6940</v>
      </c>
      <c r="I100" s="41">
        <f t="shared" si="4"/>
        <v>19852</v>
      </c>
      <c r="J100" s="41">
        <f t="shared" si="4"/>
        <v>3964</v>
      </c>
      <c r="K100" s="41">
        <f t="shared" si="4"/>
        <v>14504</v>
      </c>
      <c r="L100" s="41">
        <f t="shared" si="4"/>
        <v>10802</v>
      </c>
      <c r="M100" s="41">
        <f t="shared" si="4"/>
        <v>2369</v>
      </c>
      <c r="N100" s="41">
        <f t="shared" si="4"/>
        <v>0</v>
      </c>
      <c r="O100" s="41">
        <f>ROUND(P256,0)</f>
        <v>6170</v>
      </c>
      <c r="P100" s="41">
        <f>ROUND(Q256,0)</f>
        <v>0</v>
      </c>
      <c r="Q100" s="41">
        <f>ROUND(R256,0)</f>
        <v>0</v>
      </c>
      <c r="R100" s="41">
        <f>ROUND(S256,0)</f>
        <v>0</v>
      </c>
      <c r="S100" s="84"/>
      <c r="T100" s="84"/>
      <c r="U100" s="84"/>
    </row>
    <row r="102" spans="1:21" x14ac:dyDescent="0.55000000000000004">
      <c r="B102" s="137" t="s">
        <v>688</v>
      </c>
      <c r="C102" s="137"/>
      <c r="D102" s="137"/>
      <c r="E102" s="137"/>
      <c r="F102" s="7">
        <f>ROUND(SIM用基本データ!Q170/10000,1)</f>
        <v>30</v>
      </c>
      <c r="G102" s="1" t="s">
        <v>579</v>
      </c>
    </row>
    <row r="103" spans="1:21" x14ac:dyDescent="0.55000000000000004">
      <c r="B103" s="145" t="s">
        <v>580</v>
      </c>
      <c r="C103" s="145"/>
      <c r="D103" s="145"/>
      <c r="E103" s="145"/>
      <c r="F103" s="44">
        <f>ROUND(W256/10000,1)</f>
        <v>25.6</v>
      </c>
      <c r="G103" s="1" t="s">
        <v>579</v>
      </c>
    </row>
    <row r="105" spans="1:21" ht="20" x14ac:dyDescent="0.55000000000000004">
      <c r="A105" s="71" t="s">
        <v>582</v>
      </c>
    </row>
    <row r="106" spans="1:21" x14ac:dyDescent="0.55000000000000004">
      <c r="B106" s="1" t="s">
        <v>638</v>
      </c>
    </row>
    <row r="107" spans="1:21" ht="15.5" thickBot="1" x14ac:dyDescent="0.6"/>
    <row r="108" spans="1:21" x14ac:dyDescent="0.55000000000000004">
      <c r="B108" s="139" t="s">
        <v>639</v>
      </c>
      <c r="C108" s="140"/>
      <c r="D108" s="140"/>
      <c r="E108" s="140"/>
      <c r="F108" s="140"/>
      <c r="G108" s="141"/>
    </row>
    <row r="109" spans="1:21" x14ac:dyDescent="0.55000000000000004">
      <c r="B109" s="1" t="s">
        <v>803</v>
      </c>
    </row>
    <row r="110" spans="1:21" x14ac:dyDescent="0.55000000000000004">
      <c r="B110" s="4" t="s">
        <v>668</v>
      </c>
    </row>
    <row r="111" spans="1:21" x14ac:dyDescent="0.55000000000000004">
      <c r="B111" s="1" t="s">
        <v>620</v>
      </c>
      <c r="C111" s="8"/>
    </row>
    <row r="112" spans="1:21" x14ac:dyDescent="0.55000000000000004">
      <c r="B112" s="4" t="s">
        <v>619</v>
      </c>
    </row>
    <row r="113" spans="2:7" x14ac:dyDescent="0.55000000000000004">
      <c r="B113" s="4" t="s">
        <v>621</v>
      </c>
    </row>
    <row r="114" spans="2:7" x14ac:dyDescent="0.55000000000000004">
      <c r="B114" s="4" t="s">
        <v>622</v>
      </c>
      <c r="G114" s="8"/>
    </row>
    <row r="115" spans="2:7" x14ac:dyDescent="0.55000000000000004">
      <c r="B115" s="4" t="s">
        <v>669</v>
      </c>
    </row>
    <row r="116" spans="2:7" x14ac:dyDescent="0.55000000000000004">
      <c r="B116" s="4" t="s">
        <v>619</v>
      </c>
    </row>
    <row r="117" spans="2:7" x14ac:dyDescent="0.55000000000000004">
      <c r="B117" s="4" t="s">
        <v>627</v>
      </c>
    </row>
    <row r="118" spans="2:7" x14ac:dyDescent="0.55000000000000004">
      <c r="B118" s="4" t="s">
        <v>628</v>
      </c>
    </row>
    <row r="119" spans="2:7" x14ac:dyDescent="0.55000000000000004">
      <c r="B119" s="1" t="s">
        <v>630</v>
      </c>
    </row>
    <row r="120" spans="2:7" x14ac:dyDescent="0.55000000000000004">
      <c r="B120" s="1" t="s">
        <v>629</v>
      </c>
    </row>
    <row r="121" spans="2:7" x14ac:dyDescent="0.55000000000000004">
      <c r="B121" s="4" t="s">
        <v>670</v>
      </c>
    </row>
    <row r="122" spans="2:7" x14ac:dyDescent="0.55000000000000004">
      <c r="B122" s="4" t="s">
        <v>619</v>
      </c>
    </row>
    <row r="123" spans="2:7" x14ac:dyDescent="0.55000000000000004">
      <c r="B123" s="4" t="s">
        <v>631</v>
      </c>
    </row>
    <row r="124" spans="2:7" x14ac:dyDescent="0.55000000000000004">
      <c r="B124" s="1" t="s">
        <v>630</v>
      </c>
    </row>
    <row r="125" spans="2:7" x14ac:dyDescent="0.55000000000000004">
      <c r="B125" s="1" t="s">
        <v>632</v>
      </c>
    </row>
    <row r="127" spans="2:7" x14ac:dyDescent="0.55000000000000004">
      <c r="B127" s="1" t="s">
        <v>640</v>
      </c>
    </row>
    <row r="128" spans="2:7" x14ac:dyDescent="0.55000000000000004">
      <c r="B128" s="119" t="s">
        <v>683</v>
      </c>
      <c r="C128" s="126" t="s">
        <v>707</v>
      </c>
      <c r="D128" s="126" t="s">
        <v>708</v>
      </c>
      <c r="E128" s="8" t="s">
        <v>461</v>
      </c>
    </row>
    <row r="129" spans="2:20" x14ac:dyDescent="0.55000000000000004">
      <c r="B129" s="97">
        <v>100</v>
      </c>
      <c r="C129" s="97">
        <v>0</v>
      </c>
      <c r="D129" s="97">
        <v>0</v>
      </c>
      <c r="E129" s="49">
        <f>SUM(B129:D129)</f>
        <v>100</v>
      </c>
    </row>
    <row r="130" spans="2:20" ht="15.5" thickBot="1" x14ac:dyDescent="0.6"/>
    <row r="131" spans="2:20" ht="16" thickTop="1" thickBot="1" x14ac:dyDescent="0.6">
      <c r="B131" s="139" t="s">
        <v>667</v>
      </c>
      <c r="C131" s="140"/>
      <c r="D131" s="140"/>
      <c r="E131" s="140"/>
      <c r="F131" s="140"/>
      <c r="G131" s="141"/>
    </row>
    <row r="132" spans="2:20" ht="15.5" thickTop="1" x14ac:dyDescent="0.55000000000000004">
      <c r="B132" s="1" t="s">
        <v>673</v>
      </c>
    </row>
    <row r="133" spans="2:20" x14ac:dyDescent="0.55000000000000004">
      <c r="B133" s="4" t="s">
        <v>674</v>
      </c>
    </row>
    <row r="134" spans="2:20" x14ac:dyDescent="0.55000000000000004">
      <c r="B134" s="1" t="s">
        <v>675</v>
      </c>
      <c r="E134" s="127">
        <f>ROUND((D309+E309+F309)/20,1)</f>
        <v>46.8</v>
      </c>
      <c r="F134" s="1" t="s">
        <v>676</v>
      </c>
    </row>
    <row r="135" spans="2:20" x14ac:dyDescent="0.55000000000000004">
      <c r="B135" s="4" t="s">
        <v>677</v>
      </c>
    </row>
    <row r="136" spans="2:20" x14ac:dyDescent="0.55000000000000004">
      <c r="B136" s="1" t="s">
        <v>675</v>
      </c>
      <c r="E136" s="127">
        <f>ROUND((D309+E309+F309+G309+H309)/20,1)</f>
        <v>63.4</v>
      </c>
      <c r="F136" s="1" t="s">
        <v>676</v>
      </c>
    </row>
    <row r="137" spans="2:20" x14ac:dyDescent="0.55000000000000004">
      <c r="B137" s="134" t="s">
        <v>775</v>
      </c>
      <c r="C137" s="8" t="s">
        <v>678</v>
      </c>
    </row>
    <row r="138" spans="2:20" ht="15.5" thickBot="1" x14ac:dyDescent="0.6"/>
    <row r="139" spans="2:20" ht="16" thickTop="1" thickBot="1" x14ac:dyDescent="0.6">
      <c r="B139" s="142" t="s">
        <v>850</v>
      </c>
      <c r="C139" s="143"/>
      <c r="D139" s="143"/>
      <c r="E139" s="143"/>
      <c r="F139" s="143"/>
      <c r="G139" s="144"/>
    </row>
    <row r="140" spans="2:20" ht="15.5" thickTop="1" x14ac:dyDescent="0.55000000000000004"/>
    <row r="141" spans="2:20" x14ac:dyDescent="0.55000000000000004">
      <c r="B141" s="145"/>
      <c r="C141" s="145"/>
      <c r="D141" s="145"/>
      <c r="E141" s="41" t="s">
        <v>41</v>
      </c>
      <c r="F141" s="41" t="s">
        <v>27</v>
      </c>
      <c r="G141" s="41" t="s">
        <v>28</v>
      </c>
      <c r="H141" s="41" t="s">
        <v>29</v>
      </c>
      <c r="I141" s="41" t="s">
        <v>30</v>
      </c>
      <c r="J141" s="41" t="s">
        <v>39</v>
      </c>
      <c r="K141" s="41" t="s">
        <v>31</v>
      </c>
      <c r="L141" s="41" t="s">
        <v>32</v>
      </c>
      <c r="M141" s="41" t="s">
        <v>33</v>
      </c>
      <c r="N141" s="41" t="s">
        <v>43</v>
      </c>
      <c r="O141" s="41" t="s">
        <v>34</v>
      </c>
      <c r="P141" s="41" t="s">
        <v>307</v>
      </c>
      <c r="Q141" s="41" t="s">
        <v>308</v>
      </c>
      <c r="R141" s="41" t="s">
        <v>309</v>
      </c>
      <c r="S141" s="126" t="s">
        <v>707</v>
      </c>
      <c r="T141" s="126" t="s">
        <v>708</v>
      </c>
    </row>
    <row r="142" spans="2:20" x14ac:dyDescent="0.55000000000000004">
      <c r="B142" s="145" t="s">
        <v>576</v>
      </c>
      <c r="C142" s="145"/>
      <c r="D142" s="145"/>
      <c r="E142" s="41">
        <f>D296</f>
        <v>134.4</v>
      </c>
      <c r="F142" s="41">
        <f t="shared" ref="F142:O142" si="5">E296</f>
        <v>93.1</v>
      </c>
      <c r="G142" s="41">
        <f t="shared" si="5"/>
        <v>90</v>
      </c>
      <c r="H142" s="41">
        <f t="shared" si="5"/>
        <v>80.7</v>
      </c>
      <c r="I142" s="41">
        <f t="shared" si="5"/>
        <v>80.7</v>
      </c>
      <c r="J142" s="41">
        <f t="shared" si="5"/>
        <v>74.8</v>
      </c>
      <c r="K142" s="41">
        <f t="shared" si="5"/>
        <v>71.8</v>
      </c>
      <c r="L142" s="41">
        <f t="shared" si="5"/>
        <v>68.8</v>
      </c>
      <c r="M142" s="41">
        <f t="shared" si="5"/>
        <v>65.8</v>
      </c>
      <c r="N142" s="41">
        <f t="shared" si="5"/>
        <v>0</v>
      </c>
      <c r="O142" s="41">
        <f t="shared" si="5"/>
        <v>59.9</v>
      </c>
      <c r="P142" s="41">
        <f>Q249</f>
        <v>80.7</v>
      </c>
      <c r="Q142" s="41">
        <f t="shared" ref="Q142:R142" si="6">R249</f>
        <v>74.8</v>
      </c>
      <c r="R142" s="41">
        <f t="shared" si="6"/>
        <v>71.8</v>
      </c>
      <c r="S142" s="41">
        <f>S296</f>
        <v>45</v>
      </c>
      <c r="T142" s="41">
        <f>T296</f>
        <v>36</v>
      </c>
    </row>
    <row r="143" spans="2:20" x14ac:dyDescent="0.55000000000000004">
      <c r="B143" s="145" t="s">
        <v>577</v>
      </c>
      <c r="C143" s="145"/>
      <c r="D143" s="145"/>
      <c r="E143" s="41">
        <f>ROUND(D312,1)</f>
        <v>0</v>
      </c>
      <c r="F143" s="41">
        <f t="shared" ref="F143:R143" si="7">ROUND(E312,1)</f>
        <v>0</v>
      </c>
      <c r="G143" s="41">
        <f t="shared" si="7"/>
        <v>0</v>
      </c>
      <c r="H143" s="41">
        <f t="shared" si="7"/>
        <v>0</v>
      </c>
      <c r="I143" s="41">
        <f t="shared" si="7"/>
        <v>0</v>
      </c>
      <c r="J143" s="41">
        <f t="shared" si="7"/>
        <v>1320.2</v>
      </c>
      <c r="K143" s="41">
        <f t="shared" si="7"/>
        <v>202</v>
      </c>
      <c r="L143" s="41">
        <f t="shared" si="7"/>
        <v>157</v>
      </c>
      <c r="M143" s="41">
        <f t="shared" si="7"/>
        <v>36</v>
      </c>
      <c r="N143" s="41">
        <f t="shared" si="7"/>
        <v>0</v>
      </c>
      <c r="O143" s="41">
        <f t="shared" si="7"/>
        <v>616.20000000000005</v>
      </c>
      <c r="P143" s="41">
        <f t="shared" si="7"/>
        <v>0</v>
      </c>
      <c r="Q143" s="41">
        <f t="shared" si="7"/>
        <v>0</v>
      </c>
      <c r="R143" s="41">
        <f t="shared" si="7"/>
        <v>0</v>
      </c>
      <c r="S143" s="41">
        <f>ROUND(S312,1)</f>
        <v>0</v>
      </c>
      <c r="T143" s="41">
        <f>ROUND(T312,1)</f>
        <v>0</v>
      </c>
    </row>
    <row r="144" spans="2:20" x14ac:dyDescent="0.55000000000000004">
      <c r="B144" s="145" t="s">
        <v>578</v>
      </c>
      <c r="C144" s="145"/>
      <c r="D144" s="145"/>
      <c r="E144" s="41">
        <f>ROUND(D313,0)</f>
        <v>0</v>
      </c>
      <c r="F144" s="41">
        <f t="shared" ref="F144:R144" si="8">ROUND(E313,0)</f>
        <v>0</v>
      </c>
      <c r="G144" s="41">
        <f t="shared" si="8"/>
        <v>0</v>
      </c>
      <c r="H144" s="41">
        <f t="shared" si="8"/>
        <v>0</v>
      </c>
      <c r="I144" s="41">
        <f t="shared" si="8"/>
        <v>0</v>
      </c>
      <c r="J144" s="41">
        <f t="shared" si="8"/>
        <v>98750</v>
      </c>
      <c r="K144" s="41">
        <f t="shared" si="8"/>
        <v>14504</v>
      </c>
      <c r="L144" s="41">
        <f t="shared" si="8"/>
        <v>10802</v>
      </c>
      <c r="M144" s="41">
        <f t="shared" si="8"/>
        <v>2369</v>
      </c>
      <c r="N144" s="41">
        <f t="shared" si="8"/>
        <v>0</v>
      </c>
      <c r="O144" s="41">
        <f t="shared" si="8"/>
        <v>36911</v>
      </c>
      <c r="P144" s="41">
        <f t="shared" si="8"/>
        <v>0</v>
      </c>
      <c r="Q144" s="41">
        <f t="shared" si="8"/>
        <v>0</v>
      </c>
      <c r="R144" s="41">
        <f t="shared" si="8"/>
        <v>0</v>
      </c>
      <c r="S144" s="41">
        <f>ROUND(S313,0)</f>
        <v>0</v>
      </c>
      <c r="T144" s="41">
        <f>ROUND(T313,0)</f>
        <v>0</v>
      </c>
    </row>
    <row r="146" spans="1:17" x14ac:dyDescent="0.55000000000000004">
      <c r="B146" s="137" t="s">
        <v>686</v>
      </c>
      <c r="C146" s="137"/>
      <c r="D146" s="137"/>
      <c r="E146" s="137"/>
      <c r="F146" s="7">
        <f>F102</f>
        <v>30</v>
      </c>
      <c r="G146" s="1" t="s">
        <v>579</v>
      </c>
    </row>
    <row r="147" spans="1:17" x14ac:dyDescent="0.55000000000000004">
      <c r="B147" s="137" t="s">
        <v>687</v>
      </c>
      <c r="C147" s="137"/>
      <c r="D147" s="137"/>
      <c r="E147" s="137"/>
      <c r="F147" s="7">
        <f>F103</f>
        <v>25.6</v>
      </c>
      <c r="G147" s="1" t="s">
        <v>579</v>
      </c>
    </row>
    <row r="148" spans="1:17" x14ac:dyDescent="0.55000000000000004">
      <c r="B148" s="145" t="s">
        <v>684</v>
      </c>
      <c r="C148" s="145"/>
      <c r="D148" s="145"/>
      <c r="E148" s="145"/>
      <c r="F148" s="44">
        <f>ROUND(U313/10000,1)</f>
        <v>16.3</v>
      </c>
      <c r="G148" s="1" t="s">
        <v>579</v>
      </c>
    </row>
    <row r="150" spans="1:17" hidden="1" x14ac:dyDescent="0.55000000000000004"/>
    <row r="151" spans="1:17" hidden="1" x14ac:dyDescent="0.55000000000000004">
      <c r="A151" s="8" t="s">
        <v>583</v>
      </c>
      <c r="C151" s="4"/>
      <c r="D151" s="4"/>
      <c r="E151" s="4"/>
      <c r="F151" s="23"/>
      <c r="G151" s="23"/>
      <c r="H151" s="23"/>
      <c r="I151" s="23"/>
      <c r="J151" s="23"/>
      <c r="K151" s="14"/>
      <c r="L151" s="14"/>
      <c r="M151" s="14"/>
      <c r="N151" s="14"/>
      <c r="O151" s="14"/>
      <c r="P151" s="14"/>
      <c r="Q151" s="14"/>
    </row>
    <row r="152" spans="1:17" hidden="1" x14ac:dyDescent="0.55000000000000004">
      <c r="A152" s="4" t="s">
        <v>367</v>
      </c>
      <c r="F152" s="23"/>
      <c r="G152" s="23"/>
      <c r="H152" s="23"/>
      <c r="I152" s="23"/>
      <c r="J152" s="23"/>
      <c r="K152" s="14"/>
      <c r="L152" s="14"/>
      <c r="M152" s="14"/>
      <c r="N152" s="14"/>
      <c r="O152" s="14"/>
      <c r="P152" s="14"/>
      <c r="Q152" s="14"/>
    </row>
    <row r="153" spans="1:17" hidden="1" x14ac:dyDescent="0.55000000000000004">
      <c r="F153" s="23"/>
      <c r="G153" s="23"/>
      <c r="H153" s="23"/>
      <c r="I153" s="23"/>
      <c r="J153" s="23"/>
      <c r="K153" s="14"/>
      <c r="L153" s="14"/>
      <c r="M153" s="14"/>
      <c r="N153" s="14"/>
      <c r="O153" s="14"/>
      <c r="P153" s="14"/>
      <c r="Q153" s="14"/>
    </row>
    <row r="154" spans="1:17" hidden="1" x14ac:dyDescent="0.55000000000000004">
      <c r="B154" s="30">
        <f>IF(B22="国交省想定",1,2)</f>
        <v>1</v>
      </c>
      <c r="C154" s="1" t="s">
        <v>356</v>
      </c>
      <c r="F154" s="10"/>
      <c r="G154" s="10"/>
      <c r="H154" s="10"/>
      <c r="I154" s="10"/>
      <c r="J154" s="10"/>
    </row>
    <row r="155" spans="1:17" hidden="1" x14ac:dyDescent="0.55000000000000004">
      <c r="J155" s="1">
        <v>1</v>
      </c>
      <c r="K155" s="1">
        <v>0.9</v>
      </c>
      <c r="L155" s="1">
        <v>0.85</v>
      </c>
      <c r="M155" s="1">
        <v>0.8</v>
      </c>
      <c r="N155" s="1">
        <v>0.75</v>
      </c>
      <c r="P155" s="1">
        <v>0.65</v>
      </c>
    </row>
    <row r="156" spans="1:17" hidden="1" x14ac:dyDescent="0.55000000000000004">
      <c r="A156" s="4"/>
      <c r="F156" s="1" t="s">
        <v>41</v>
      </c>
      <c r="G156" s="1" t="s">
        <v>27</v>
      </c>
      <c r="H156" s="1" t="s">
        <v>28</v>
      </c>
      <c r="I156" s="1" t="s">
        <v>29</v>
      </c>
      <c r="J156" s="1" t="str">
        <f>E38</f>
        <v>想定①</v>
      </c>
      <c r="K156" s="1" t="str">
        <f>F38</f>
        <v>想定②</v>
      </c>
      <c r="L156" s="1" t="str">
        <f>G38</f>
        <v>想定③</v>
      </c>
      <c r="M156" s="1">
        <f>H38</f>
        <v>0</v>
      </c>
      <c r="N156" s="1">
        <f>I38</f>
        <v>0</v>
      </c>
      <c r="O156" s="1" t="s">
        <v>43</v>
      </c>
      <c r="P156" s="1" t="s">
        <v>311</v>
      </c>
    </row>
    <row r="157" spans="1:17" hidden="1" x14ac:dyDescent="0.55000000000000004">
      <c r="A157" s="4"/>
      <c r="B157" s="1" t="s">
        <v>520</v>
      </c>
      <c r="H157" s="14"/>
      <c r="J157" s="30">
        <f>E51</f>
        <v>30</v>
      </c>
      <c r="K157" s="30">
        <f>F51</f>
        <v>50</v>
      </c>
      <c r="L157" s="30">
        <f>G51</f>
        <v>20</v>
      </c>
      <c r="M157" s="30">
        <v>0</v>
      </c>
      <c r="N157" s="30">
        <v>0</v>
      </c>
      <c r="P157" s="30">
        <f>J51</f>
        <v>0</v>
      </c>
    </row>
    <row r="158" spans="1:17" hidden="1" x14ac:dyDescent="0.55000000000000004">
      <c r="B158" s="1" t="s">
        <v>77</v>
      </c>
      <c r="F158" s="30">
        <v>0</v>
      </c>
      <c r="G158" s="30">
        <v>0</v>
      </c>
      <c r="H158" s="30">
        <v>0</v>
      </c>
      <c r="I158" s="30">
        <v>0</v>
      </c>
      <c r="J158" s="30">
        <f>IF($B$154=1,D30,IF($B$154=2,E52,"エラー"))</f>
        <v>9.1999999999999993</v>
      </c>
      <c r="K158" s="30">
        <f>IF($B$154=1,E30,IF($B$154=2,F52,"エラー"))</f>
        <v>6</v>
      </c>
      <c r="L158" s="30">
        <f>IF($B$154=1,F30,IF($B$154=2,G52,"エラー"))</f>
        <v>20.100000000000001</v>
      </c>
      <c r="M158" s="30">
        <f>IF($B$154=1,G30,IF($B$154=2,0,"エラー"))</f>
        <v>33.6</v>
      </c>
      <c r="N158" s="30">
        <f>IF($B$154=1,H30,IF($B$154=2,0,"エラー"))</f>
        <v>8</v>
      </c>
      <c r="O158" s="14">
        <v>0</v>
      </c>
      <c r="P158" s="30">
        <f>IF($B$154=1,I30,IF($B$154=2,0,"エラー"))</f>
        <v>23.1</v>
      </c>
      <c r="Q158" s="1">
        <f>SUM(F158:P158)</f>
        <v>100</v>
      </c>
    </row>
    <row r="159" spans="1:17" hidden="1" x14ac:dyDescent="0.55000000000000004">
      <c r="B159" s="1" t="s">
        <v>78</v>
      </c>
      <c r="F159" s="30">
        <v>0</v>
      </c>
      <c r="G159" s="30">
        <v>0</v>
      </c>
      <c r="H159" s="30">
        <v>0</v>
      </c>
      <c r="I159" s="30">
        <v>0</v>
      </c>
      <c r="J159" s="30">
        <f>IF($B$154=1,D32,IF($B$154=2,E53,"エラー"))</f>
        <v>0</v>
      </c>
      <c r="K159" s="30">
        <f>IF($B$154=1,E32,IF($B$154=2,F53,"エラー"))</f>
        <v>0</v>
      </c>
      <c r="L159" s="30">
        <f>IF($B$154=1,F32,IF($B$154=2,G53,"エラー"))</f>
        <v>0</v>
      </c>
      <c r="M159" s="30">
        <f>IF($B$154=1,G32,IF($B$154=2,0,"エラー"))</f>
        <v>60</v>
      </c>
      <c r="N159" s="30">
        <f>IF($B$154=1,H32,IF($B$154=2,0,"エラー"))</f>
        <v>10</v>
      </c>
      <c r="O159" s="14">
        <v>0</v>
      </c>
      <c r="P159" s="30">
        <f>IF($B$154=1,I32,IF($B$154=2,0,"エラー"))</f>
        <v>30</v>
      </c>
      <c r="Q159" s="1">
        <f>SUM(F159:P159)</f>
        <v>100</v>
      </c>
    </row>
    <row r="160" spans="1:17" hidden="1" x14ac:dyDescent="0.55000000000000004"/>
    <row r="161" spans="2:18" hidden="1" x14ac:dyDescent="0.55000000000000004">
      <c r="B161" s="4"/>
      <c r="F161" s="1" t="s">
        <v>41</v>
      </c>
      <c r="G161" s="1" t="s">
        <v>27</v>
      </c>
      <c r="H161" s="1" t="s">
        <v>28</v>
      </c>
      <c r="I161" s="1" t="s">
        <v>29</v>
      </c>
      <c r="J161" s="1" t="s">
        <v>314</v>
      </c>
      <c r="K161" s="1" t="s">
        <v>315</v>
      </c>
      <c r="L161" s="1" t="s">
        <v>316</v>
      </c>
      <c r="M161" s="1" t="s">
        <v>317</v>
      </c>
      <c r="N161" s="1" t="s">
        <v>318</v>
      </c>
      <c r="O161" s="1" t="s">
        <v>43</v>
      </c>
      <c r="P161" s="1" t="s">
        <v>311</v>
      </c>
    </row>
    <row r="162" spans="2:18" hidden="1" x14ac:dyDescent="0.55000000000000004">
      <c r="C162" s="1" t="s">
        <v>82</v>
      </c>
      <c r="E162" s="1" t="s">
        <v>22</v>
      </c>
      <c r="F162" s="14">
        <f>SIM用基本データ!F30</f>
        <v>134.4</v>
      </c>
      <c r="G162" s="14">
        <f>SIM用基本データ!G30</f>
        <v>93.1</v>
      </c>
      <c r="H162" s="14">
        <f>SIM用基本データ!H30</f>
        <v>90</v>
      </c>
      <c r="I162" s="14">
        <f>SIM用基本データ!I30</f>
        <v>80.7</v>
      </c>
      <c r="J162" s="30">
        <f>IF($B$154=1,D29,IF($B$154=2,E44,"エラー"))</f>
        <v>80.7</v>
      </c>
      <c r="K162" s="30">
        <f>IF($B$154=1,E29,IF($B$154=2,F44,"エラー"))</f>
        <v>74.8</v>
      </c>
      <c r="L162" s="30">
        <f>IF($B$154=1,F29,IF($B$154=2,G44,"エラー"))</f>
        <v>71.8</v>
      </c>
      <c r="M162" s="30">
        <f>IF($B$154=1,G29,IF($B$154=2,0,"エラー"))</f>
        <v>68.8</v>
      </c>
      <c r="N162" s="30">
        <f>IF($B$154=1,H29,IF($B$154=2,0,"エラー"))</f>
        <v>65.8</v>
      </c>
      <c r="O162" s="14">
        <f>SIM用基本データ!O30</f>
        <v>0</v>
      </c>
      <c r="P162" s="30">
        <f>IF($B$154=1,I29,IF($B$154=2,0,"エラー"))</f>
        <v>59.9</v>
      </c>
    </row>
    <row r="163" spans="2:18" hidden="1" x14ac:dyDescent="0.55000000000000004">
      <c r="E163" s="1" t="s">
        <v>83</v>
      </c>
    </row>
    <row r="164" spans="2:18" hidden="1" x14ac:dyDescent="0.55000000000000004">
      <c r="C164" s="1" t="s">
        <v>48</v>
      </c>
      <c r="D164" s="1" t="s">
        <v>71</v>
      </c>
      <c r="F164" s="4">
        <f>基本データ!C12</f>
        <v>0</v>
      </c>
      <c r="G164" s="4">
        <f>基本データ!D12</f>
        <v>0</v>
      </c>
      <c r="H164" s="4">
        <f>IF(B154=1,基本データ!E12,IF(B154=2,0))</f>
        <v>12.8</v>
      </c>
      <c r="I164" s="4">
        <f>基本データ!F12</f>
        <v>0</v>
      </c>
      <c r="J164" s="4">
        <f>IF(B154=1,基本データ!G12,IF(B154=2,J157))</f>
        <v>7.5</v>
      </c>
      <c r="K164" s="4">
        <f>IF(B154=1,基本データ!H12,IF(B154=2,K157))</f>
        <v>13.1</v>
      </c>
      <c r="L164" s="4">
        <f>IF(B154=1,基本データ!I12,IF(B154=2,L157))</f>
        <v>44.3</v>
      </c>
      <c r="M164" s="4">
        <f>IF(B154=1,基本データ!J12,IF(B154=2,M157))</f>
        <v>2</v>
      </c>
      <c r="N164" s="4">
        <f>IF(B154=1,基本データ!K12,IF(B154=2,N157))</f>
        <v>5.6</v>
      </c>
      <c r="O164" s="4">
        <f>基本データ!L12</f>
        <v>0</v>
      </c>
      <c r="P164" s="4">
        <f>IF(B154=1,基本データ!M12,IF(B154=2,P157))</f>
        <v>14.7</v>
      </c>
      <c r="Q164" s="1">
        <f>SUM(F164:P164)</f>
        <v>99.999999999999986</v>
      </c>
    </row>
    <row r="165" spans="2:18" hidden="1" x14ac:dyDescent="0.55000000000000004">
      <c r="B165" s="4"/>
      <c r="E165" s="1">
        <f>SIM用基本データ!C3</f>
        <v>43.4</v>
      </c>
      <c r="F165" s="4">
        <f t="shared" ref="F165:P165" si="9">$E165*F164/100</f>
        <v>0</v>
      </c>
      <c r="G165" s="4">
        <f t="shared" si="9"/>
        <v>0</v>
      </c>
      <c r="H165" s="4">
        <f t="shared" si="9"/>
        <v>5.5552000000000001</v>
      </c>
      <c r="I165" s="4">
        <f t="shared" si="9"/>
        <v>0</v>
      </c>
      <c r="J165" s="4">
        <f t="shared" si="9"/>
        <v>3.2549999999999999</v>
      </c>
      <c r="K165" s="4">
        <f t="shared" si="9"/>
        <v>5.6853999999999996</v>
      </c>
      <c r="L165" s="4">
        <f t="shared" si="9"/>
        <v>19.226199999999999</v>
      </c>
      <c r="M165" s="4">
        <f t="shared" si="9"/>
        <v>0.86799999999999999</v>
      </c>
      <c r="N165" s="4">
        <f t="shared" si="9"/>
        <v>2.4303999999999997</v>
      </c>
      <c r="O165" s="4">
        <f t="shared" si="9"/>
        <v>0</v>
      </c>
      <c r="P165" s="4">
        <f t="shared" si="9"/>
        <v>6.3797999999999995</v>
      </c>
    </row>
    <row r="166" spans="2:18" hidden="1" x14ac:dyDescent="0.55000000000000004">
      <c r="C166" s="1" t="s">
        <v>49</v>
      </c>
      <c r="D166" s="1" t="s">
        <v>71</v>
      </c>
      <c r="E166" s="1">
        <f>SIM用基本データ!C4</f>
        <v>0</v>
      </c>
      <c r="F166" s="4">
        <f>基本データ!C14</f>
        <v>0</v>
      </c>
      <c r="G166" s="4">
        <f>基本データ!D14</f>
        <v>0</v>
      </c>
      <c r="H166" s="4">
        <f>IF(B154=1,基本データ!E14,IF(B154=2,0))</f>
        <v>10.7</v>
      </c>
      <c r="I166" s="4">
        <f>基本データ!F14</f>
        <v>0</v>
      </c>
      <c r="J166" s="4">
        <f>IF(B154=1,基本データ!G14,IF(B154=2,J157))</f>
        <v>7.8</v>
      </c>
      <c r="K166" s="4">
        <f>IF(B154=1,基本データ!H14,IF(B154=2,K157))</f>
        <v>11.9</v>
      </c>
      <c r="L166" s="4">
        <f>IF(B154=1,基本データ!I14,IF(B154=2,L157))</f>
        <v>44.3</v>
      </c>
      <c r="M166" s="4">
        <f>IF(B154=1,基本データ!J14,IF(B154=2,M157))</f>
        <v>2</v>
      </c>
      <c r="N166" s="4">
        <f>IF(B154=1,基本データ!K14,IF(B154=2,N157))</f>
        <v>5.6</v>
      </c>
      <c r="O166" s="4">
        <f>基本データ!L14</f>
        <v>0</v>
      </c>
      <c r="P166" s="4">
        <f>IF(B154=1,基本データ!M14,IF(B154=2,P157))</f>
        <v>14.7</v>
      </c>
      <c r="Q166" s="1">
        <f>SUM(H166:P166)</f>
        <v>96.999999999999986</v>
      </c>
    </row>
    <row r="167" spans="2:18" hidden="1" x14ac:dyDescent="0.55000000000000004">
      <c r="E167" s="1">
        <f>SIM用基本データ!C5</f>
        <v>39.700000000000003</v>
      </c>
      <c r="F167" s="4">
        <f t="shared" ref="F167:P167" si="10">$E167*F166/100</f>
        <v>0</v>
      </c>
      <c r="G167" s="4">
        <f t="shared" si="10"/>
        <v>0</v>
      </c>
      <c r="H167" s="4">
        <f t="shared" si="10"/>
        <v>4.2479000000000005</v>
      </c>
      <c r="I167" s="4">
        <f t="shared" si="10"/>
        <v>0</v>
      </c>
      <c r="J167" s="4">
        <f t="shared" si="10"/>
        <v>3.0966000000000005</v>
      </c>
      <c r="K167" s="4">
        <f t="shared" si="10"/>
        <v>4.7243000000000004</v>
      </c>
      <c r="L167" s="4">
        <f t="shared" si="10"/>
        <v>17.5871</v>
      </c>
      <c r="M167" s="4">
        <f t="shared" si="10"/>
        <v>0.79400000000000004</v>
      </c>
      <c r="N167" s="4">
        <f t="shared" si="10"/>
        <v>2.2231999999999998</v>
      </c>
      <c r="O167" s="4">
        <f t="shared" si="10"/>
        <v>0</v>
      </c>
      <c r="P167" s="4">
        <f t="shared" si="10"/>
        <v>5.8359000000000005</v>
      </c>
    </row>
    <row r="168" spans="2:18" hidden="1" x14ac:dyDescent="0.55000000000000004">
      <c r="C168" s="1" t="s">
        <v>50</v>
      </c>
      <c r="D168" s="1" t="s">
        <v>71</v>
      </c>
      <c r="E168" s="1">
        <f>SIM用基本データ!C6</f>
        <v>0</v>
      </c>
      <c r="F168" s="8">
        <f>F166+(F$176-F$166)/5</f>
        <v>0</v>
      </c>
      <c r="G168" s="8">
        <f>G166+(G$176-G$166)/5</f>
        <v>0</v>
      </c>
      <c r="H168" s="27">
        <f>IF(B154=1,6.42,IF(B154=2,0))</f>
        <v>6.42</v>
      </c>
      <c r="I168" s="8">
        <f t="shared" ref="I168:O168" si="11">I166+(I$176-I$166)/5</f>
        <v>0</v>
      </c>
      <c r="J168" s="8">
        <f>IF(B154=1,J166+(J$176-J$166)/5,IF(B154=2,J157))</f>
        <v>8.08</v>
      </c>
      <c r="K168" s="8">
        <f>IF(B154=1,K166+(K$176-K$166)/5,IF(B154=2,K157))</f>
        <v>10.72</v>
      </c>
      <c r="L168" s="8">
        <f>IF(B154=1,L166+(L$176-L$166)/5,IF(B154=2,L157))</f>
        <v>39.46</v>
      </c>
      <c r="M168" s="8">
        <f>IF(B154=1,M166+(M$176-M$166)/5,IF(B154=2,M157))</f>
        <v>8.32</v>
      </c>
      <c r="N168" s="8">
        <f>IF(B154=1,N166+(N$176-N$166)/5,IF(B154=2,N157))</f>
        <v>6.08</v>
      </c>
      <c r="O168" s="8">
        <f t="shared" si="11"/>
        <v>0</v>
      </c>
      <c r="P168" s="8">
        <f>IF(B154=1,P166+(P$176-P$166)/5,IF(B154=2,P157))</f>
        <v>16.38</v>
      </c>
      <c r="Q168" s="1">
        <f>SUM(H168:P168)</f>
        <v>95.46</v>
      </c>
      <c r="R168" s="5"/>
    </row>
    <row r="169" spans="2:18" hidden="1" x14ac:dyDescent="0.55000000000000004">
      <c r="E169" s="1">
        <f>SIM用基本データ!C7</f>
        <v>41.9</v>
      </c>
      <c r="F169" s="4">
        <f t="shared" ref="F169:P169" si="12">$E169*F168/100</f>
        <v>0</v>
      </c>
      <c r="G169" s="4">
        <f t="shared" si="12"/>
        <v>0</v>
      </c>
      <c r="H169" s="4">
        <f t="shared" si="12"/>
        <v>2.6899799999999998</v>
      </c>
      <c r="I169" s="4">
        <f t="shared" si="12"/>
        <v>0</v>
      </c>
      <c r="J169" s="4">
        <f t="shared" si="12"/>
        <v>3.3855199999999996</v>
      </c>
      <c r="K169" s="4">
        <f t="shared" si="12"/>
        <v>4.4916799999999997</v>
      </c>
      <c r="L169" s="4">
        <f t="shared" si="12"/>
        <v>16.533740000000002</v>
      </c>
      <c r="M169" s="4">
        <f t="shared" si="12"/>
        <v>3.4860799999999998</v>
      </c>
      <c r="N169" s="4">
        <f t="shared" si="12"/>
        <v>2.54752</v>
      </c>
      <c r="O169" s="4">
        <f t="shared" si="12"/>
        <v>0</v>
      </c>
      <c r="P169" s="4">
        <f t="shared" si="12"/>
        <v>6.8632199999999992</v>
      </c>
    </row>
    <row r="170" spans="2:18" hidden="1" x14ac:dyDescent="0.55000000000000004">
      <c r="C170" s="1" t="s">
        <v>63</v>
      </c>
      <c r="D170" s="1" t="s">
        <v>71</v>
      </c>
      <c r="E170" s="1">
        <f>SIM用基本データ!C8</f>
        <v>0</v>
      </c>
      <c r="F170" s="8">
        <f>F168+(F$176-F$166)/5</f>
        <v>0</v>
      </c>
      <c r="G170" s="8">
        <f>G168+(G$176-G$166)/5</f>
        <v>0</v>
      </c>
      <c r="H170" s="27">
        <f>IF(B154=1,2.14,IF(B154=2,0))</f>
        <v>2.14</v>
      </c>
      <c r="I170" s="8">
        <f t="shared" ref="I170:O170" si="13">I168+(I$176-I$166)/5</f>
        <v>0</v>
      </c>
      <c r="J170" s="8">
        <f>IF(B154=1,J168+(J$176-J$166)/5,IF(B154=2,J157))</f>
        <v>8.36</v>
      </c>
      <c r="K170" s="8">
        <f>IF(B154=1,K168+(K$176-K$166)/5,IF(B154=2,K157))</f>
        <v>9.5400000000000009</v>
      </c>
      <c r="L170" s="8">
        <f>IF(B154=1,L168+(L$176-L$166)/5,IF(B154=2,L157))</f>
        <v>34.620000000000005</v>
      </c>
      <c r="M170" s="8">
        <f>IF(B154=1,M168+(M$176-M$166)/5,IF(B154=2,M157))</f>
        <v>14.64</v>
      </c>
      <c r="N170" s="8">
        <f>IF(B154=1,N168+(N$176-N$166)/5,IF(B154=2,N157))</f>
        <v>6.5600000000000005</v>
      </c>
      <c r="O170" s="8">
        <f t="shared" si="13"/>
        <v>0</v>
      </c>
      <c r="P170" s="8">
        <f>IF(B154=1,P168+(P$176-P$166)/5,IF(B154=2,P157))</f>
        <v>18.059999999999999</v>
      </c>
      <c r="Q170" s="1">
        <f t="shared" ref="Q170:Q175" si="14">SUM(H170:P170)</f>
        <v>93.920000000000016</v>
      </c>
      <c r="R170" s="5"/>
    </row>
    <row r="171" spans="2:18" hidden="1" x14ac:dyDescent="0.55000000000000004">
      <c r="E171" s="1">
        <f>SIM用基本データ!C9</f>
        <v>41.077853942067946</v>
      </c>
      <c r="F171" s="4">
        <f t="shared" ref="F171:P171" si="15">$E171*F170/100</f>
        <v>0</v>
      </c>
      <c r="G171" s="4">
        <f t="shared" si="15"/>
        <v>0</v>
      </c>
      <c r="H171" s="4">
        <f t="shared" si="15"/>
        <v>0.87906607436025408</v>
      </c>
      <c r="I171" s="4">
        <f t="shared" si="15"/>
        <v>0</v>
      </c>
      <c r="J171" s="4">
        <f t="shared" si="15"/>
        <v>3.4341085895568799</v>
      </c>
      <c r="K171" s="4">
        <f t="shared" si="15"/>
        <v>3.9188272660732828</v>
      </c>
      <c r="L171" s="4">
        <f t="shared" si="15"/>
        <v>14.221153034743924</v>
      </c>
      <c r="M171" s="4">
        <f t="shared" si="15"/>
        <v>6.0137978171187481</v>
      </c>
      <c r="N171" s="4">
        <f t="shared" si="15"/>
        <v>2.6947072185996577</v>
      </c>
      <c r="O171" s="4">
        <f t="shared" si="15"/>
        <v>0</v>
      </c>
      <c r="P171" s="4">
        <f t="shared" si="15"/>
        <v>7.4186604219374708</v>
      </c>
      <c r="Q171" s="1">
        <f t="shared" si="14"/>
        <v>38.580320422390216</v>
      </c>
    </row>
    <row r="172" spans="2:18" hidden="1" x14ac:dyDescent="0.55000000000000004">
      <c r="C172" s="1" t="s">
        <v>64</v>
      </c>
      <c r="D172" s="1" t="s">
        <v>71</v>
      </c>
      <c r="E172" s="1">
        <f>SIM用基本データ!C10</f>
        <v>0</v>
      </c>
      <c r="F172" s="8">
        <f t="shared" ref="F172:P172" si="16">F170+(F$176-F$166)/5</f>
        <v>0</v>
      </c>
      <c r="G172" s="8">
        <f t="shared" si="16"/>
        <v>0</v>
      </c>
      <c r="H172" s="8">
        <v>0</v>
      </c>
      <c r="I172" s="8">
        <f t="shared" si="16"/>
        <v>0</v>
      </c>
      <c r="J172" s="8">
        <f t="shared" si="16"/>
        <v>8.6399999999999988</v>
      </c>
      <c r="K172" s="8">
        <f t="shared" si="16"/>
        <v>8.3600000000000012</v>
      </c>
      <c r="L172" s="8">
        <f t="shared" si="16"/>
        <v>29.780000000000005</v>
      </c>
      <c r="M172" s="8">
        <f t="shared" si="16"/>
        <v>20.96</v>
      </c>
      <c r="N172" s="8">
        <f t="shared" si="16"/>
        <v>7.0400000000000009</v>
      </c>
      <c r="O172" s="8">
        <f t="shared" si="16"/>
        <v>0</v>
      </c>
      <c r="P172" s="8">
        <f t="shared" si="16"/>
        <v>19.739999999999998</v>
      </c>
      <c r="Q172" s="1">
        <f t="shared" si="14"/>
        <v>94.52000000000001</v>
      </c>
    </row>
    <row r="173" spans="2:18" hidden="1" x14ac:dyDescent="0.55000000000000004">
      <c r="E173" s="1">
        <f>SIM用基本データ!C11</f>
        <v>40.260964801174552</v>
      </c>
      <c r="F173" s="4">
        <f t="shared" ref="F173:P173" si="17">$E173*F172/100</f>
        <v>0</v>
      </c>
      <c r="G173" s="4">
        <f t="shared" si="17"/>
        <v>0</v>
      </c>
      <c r="H173" s="4">
        <f t="shared" si="17"/>
        <v>0</v>
      </c>
      <c r="I173" s="4">
        <f t="shared" si="17"/>
        <v>0</v>
      </c>
      <c r="J173" s="4">
        <f t="shared" si="17"/>
        <v>3.4785473588214808</v>
      </c>
      <c r="K173" s="4">
        <f t="shared" si="17"/>
        <v>3.3658166573781934</v>
      </c>
      <c r="L173" s="4">
        <f t="shared" si="17"/>
        <v>11.989715317789782</v>
      </c>
      <c r="M173" s="4">
        <f t="shared" si="17"/>
        <v>8.4386982223261864</v>
      </c>
      <c r="N173" s="4">
        <f t="shared" si="17"/>
        <v>2.8343719220026888</v>
      </c>
      <c r="O173" s="4">
        <f t="shared" si="17"/>
        <v>0</v>
      </c>
      <c r="P173" s="4">
        <f t="shared" si="17"/>
        <v>7.9475144517518563</v>
      </c>
      <c r="Q173" s="1">
        <f t="shared" si="14"/>
        <v>38.054663930070191</v>
      </c>
    </row>
    <row r="174" spans="2:18" hidden="1" x14ac:dyDescent="0.55000000000000004">
      <c r="C174" s="1" t="s">
        <v>65</v>
      </c>
      <c r="D174" s="1" t="s">
        <v>71</v>
      </c>
      <c r="E174" s="1">
        <f>SIM用基本データ!C12</f>
        <v>0</v>
      </c>
      <c r="F174" s="8">
        <f>F172+(F$176-F$166)/5</f>
        <v>0</v>
      </c>
      <c r="G174" s="8">
        <f>G172+(G$176-G$166)/5</f>
        <v>0</v>
      </c>
      <c r="H174" s="8">
        <v>0</v>
      </c>
      <c r="I174" s="8">
        <f t="shared" ref="I174:P174" si="18">I172+(I$176-I$166)/5</f>
        <v>0</v>
      </c>
      <c r="J174" s="8">
        <f t="shared" si="18"/>
        <v>8.9199999999999982</v>
      </c>
      <c r="K174" s="8">
        <f t="shared" si="18"/>
        <v>7.1800000000000015</v>
      </c>
      <c r="L174" s="8">
        <f t="shared" si="18"/>
        <v>24.940000000000005</v>
      </c>
      <c r="M174" s="8">
        <f t="shared" si="18"/>
        <v>27.28</v>
      </c>
      <c r="N174" s="8">
        <f t="shared" si="18"/>
        <v>7.5200000000000014</v>
      </c>
      <c r="O174" s="8">
        <f t="shared" si="18"/>
        <v>0</v>
      </c>
      <c r="P174" s="8">
        <f t="shared" si="18"/>
        <v>21.419999999999998</v>
      </c>
      <c r="Q174" s="1">
        <f t="shared" si="14"/>
        <v>97.26</v>
      </c>
    </row>
    <row r="175" spans="2:18" hidden="1" x14ac:dyDescent="0.55000000000000004">
      <c r="E175" s="1">
        <f>SIM用基本データ!C13</f>
        <v>39.444075660281158</v>
      </c>
      <c r="F175" s="4">
        <f t="shared" ref="F175:P175" si="19">$E175*F174/100</f>
        <v>0</v>
      </c>
      <c r="G175" s="4">
        <f t="shared" si="19"/>
        <v>0</v>
      </c>
      <c r="H175" s="4">
        <f t="shared" si="19"/>
        <v>0</v>
      </c>
      <c r="I175" s="4">
        <f t="shared" si="19"/>
        <v>0</v>
      </c>
      <c r="J175" s="4">
        <f t="shared" si="19"/>
        <v>3.5184115488970789</v>
      </c>
      <c r="K175" s="4">
        <f t="shared" si="19"/>
        <v>2.8320846324081881</v>
      </c>
      <c r="L175" s="4">
        <f t="shared" si="19"/>
        <v>9.8373524696741228</v>
      </c>
      <c r="M175" s="4">
        <f t="shared" si="19"/>
        <v>10.760343840124701</v>
      </c>
      <c r="N175" s="4">
        <f t="shared" si="19"/>
        <v>2.9661944896531436</v>
      </c>
      <c r="O175" s="4">
        <f t="shared" si="19"/>
        <v>0</v>
      </c>
      <c r="P175" s="4">
        <f t="shared" si="19"/>
        <v>8.4489210064322222</v>
      </c>
      <c r="Q175" s="1">
        <f t="shared" si="14"/>
        <v>38.363307987189458</v>
      </c>
    </row>
    <row r="176" spans="2:18" hidden="1" x14ac:dyDescent="0.55000000000000004">
      <c r="C176" s="1" t="s">
        <v>66</v>
      </c>
      <c r="D176" s="1" t="s">
        <v>71</v>
      </c>
      <c r="E176" s="1">
        <f>SIM用基本データ!C14</f>
        <v>0</v>
      </c>
      <c r="F176" s="20">
        <f t="shared" ref="F176:P176" si="20">F158</f>
        <v>0</v>
      </c>
      <c r="G176" s="20">
        <f t="shared" si="20"/>
        <v>0</v>
      </c>
      <c r="H176" s="20">
        <f t="shared" si="20"/>
        <v>0</v>
      </c>
      <c r="I176" s="20">
        <f t="shared" si="20"/>
        <v>0</v>
      </c>
      <c r="J176" s="20">
        <f t="shared" si="20"/>
        <v>9.1999999999999993</v>
      </c>
      <c r="K176" s="20">
        <f t="shared" si="20"/>
        <v>6</v>
      </c>
      <c r="L176" s="20">
        <f t="shared" si="20"/>
        <v>20.100000000000001</v>
      </c>
      <c r="M176" s="20">
        <f t="shared" si="20"/>
        <v>33.6</v>
      </c>
      <c r="N176" s="20">
        <f t="shared" si="20"/>
        <v>8</v>
      </c>
      <c r="O176" s="20">
        <f t="shared" si="20"/>
        <v>0</v>
      </c>
      <c r="P176" s="20">
        <f t="shared" si="20"/>
        <v>23.1</v>
      </c>
      <c r="Q176" s="1">
        <f>SUM(J176:P176)</f>
        <v>100</v>
      </c>
    </row>
    <row r="177" spans="2:17" hidden="1" x14ac:dyDescent="0.55000000000000004">
      <c r="E177" s="1">
        <f>SIM用基本データ!C15</f>
        <v>38.627186519387756</v>
      </c>
      <c r="F177" s="4">
        <f t="shared" ref="F177:P177" si="21">$E177*F176/100</f>
        <v>0</v>
      </c>
      <c r="G177" s="4">
        <f t="shared" si="21"/>
        <v>0</v>
      </c>
      <c r="H177" s="4">
        <f t="shared" si="21"/>
        <v>0</v>
      </c>
      <c r="I177" s="4">
        <f t="shared" si="21"/>
        <v>0</v>
      </c>
      <c r="J177" s="4">
        <f t="shared" si="21"/>
        <v>3.5537011597836732</v>
      </c>
      <c r="K177" s="4">
        <f t="shared" si="21"/>
        <v>2.3176311911632657</v>
      </c>
      <c r="L177" s="4">
        <f t="shared" si="21"/>
        <v>7.7640644903969394</v>
      </c>
      <c r="M177" s="4">
        <f t="shared" si="21"/>
        <v>12.978734670514287</v>
      </c>
      <c r="N177" s="4">
        <f t="shared" si="21"/>
        <v>3.0901749215510206</v>
      </c>
      <c r="O177" s="4">
        <f t="shared" si="21"/>
        <v>0</v>
      </c>
      <c r="P177" s="4">
        <f t="shared" si="21"/>
        <v>8.9228800859785729</v>
      </c>
      <c r="Q177" s="1">
        <f>SUM(H177:P177)</f>
        <v>38.627186519387763</v>
      </c>
    </row>
    <row r="178" spans="2:17" hidden="1" x14ac:dyDescent="0.55000000000000004">
      <c r="C178" s="1" t="s">
        <v>67</v>
      </c>
      <c r="D178" s="1" t="s">
        <v>71</v>
      </c>
      <c r="E178" s="1">
        <f>SIM用基本データ!C16</f>
        <v>0</v>
      </c>
      <c r="F178" s="8">
        <f t="shared" ref="F178:P178" si="22">F176+(F$186-F$176)/5</f>
        <v>0</v>
      </c>
      <c r="G178" s="8">
        <f t="shared" si="22"/>
        <v>0</v>
      </c>
      <c r="H178" s="8">
        <f t="shared" si="22"/>
        <v>0</v>
      </c>
      <c r="I178" s="8">
        <f t="shared" si="22"/>
        <v>0</v>
      </c>
      <c r="J178" s="8">
        <f t="shared" si="22"/>
        <v>7.3599999999999994</v>
      </c>
      <c r="K178" s="8">
        <f t="shared" si="22"/>
        <v>4.8</v>
      </c>
      <c r="L178" s="8">
        <f t="shared" si="22"/>
        <v>16.080000000000002</v>
      </c>
      <c r="M178" s="8">
        <f t="shared" si="22"/>
        <v>38.880000000000003</v>
      </c>
      <c r="N178" s="8">
        <f t="shared" si="22"/>
        <v>8.4</v>
      </c>
      <c r="O178" s="8">
        <f t="shared" si="22"/>
        <v>0</v>
      </c>
      <c r="P178" s="8">
        <f t="shared" si="22"/>
        <v>24.48</v>
      </c>
      <c r="Q178" s="1">
        <f>SUM(J178:P178)</f>
        <v>100.00000000000001</v>
      </c>
    </row>
    <row r="179" spans="2:17" hidden="1" x14ac:dyDescent="0.55000000000000004">
      <c r="E179" s="1">
        <f>SIM用基本データ!C17</f>
        <v>37.810297378494361</v>
      </c>
      <c r="F179" s="4">
        <f t="shared" ref="F179:P179" si="23">$E179*F178/100</f>
        <v>0</v>
      </c>
      <c r="G179" s="4">
        <f t="shared" si="23"/>
        <v>0</v>
      </c>
      <c r="H179" s="4">
        <f t="shared" si="23"/>
        <v>0</v>
      </c>
      <c r="I179" s="4">
        <f t="shared" si="23"/>
        <v>0</v>
      </c>
      <c r="J179" s="4">
        <f t="shared" si="23"/>
        <v>2.7828378870571853</v>
      </c>
      <c r="K179" s="4">
        <f t="shared" si="23"/>
        <v>1.8148942741677294</v>
      </c>
      <c r="L179" s="4">
        <f t="shared" si="23"/>
        <v>6.0798958184618934</v>
      </c>
      <c r="M179" s="4">
        <f t="shared" si="23"/>
        <v>14.700643620758608</v>
      </c>
      <c r="N179" s="4">
        <f t="shared" si="23"/>
        <v>3.1760649797935265</v>
      </c>
      <c r="O179" s="4">
        <f t="shared" si="23"/>
        <v>0</v>
      </c>
      <c r="P179" s="4">
        <f t="shared" si="23"/>
        <v>9.2559607982554208</v>
      </c>
      <c r="Q179" s="1">
        <f>SUM(H179:P179)</f>
        <v>37.810297378494361</v>
      </c>
    </row>
    <row r="180" spans="2:17" hidden="1" x14ac:dyDescent="0.55000000000000004">
      <c r="C180" s="1" t="s">
        <v>68</v>
      </c>
      <c r="D180" s="1" t="s">
        <v>71</v>
      </c>
      <c r="E180" s="1">
        <f>SIM用基本データ!C18</f>
        <v>0</v>
      </c>
      <c r="F180" s="8">
        <f t="shared" ref="F180:P180" si="24">F178+(F$186-F$176)/5</f>
        <v>0</v>
      </c>
      <c r="G180" s="8">
        <f t="shared" si="24"/>
        <v>0</v>
      </c>
      <c r="H180" s="8">
        <f t="shared" si="24"/>
        <v>0</v>
      </c>
      <c r="I180" s="8">
        <f t="shared" si="24"/>
        <v>0</v>
      </c>
      <c r="J180" s="8">
        <f t="shared" si="24"/>
        <v>5.52</v>
      </c>
      <c r="K180" s="8">
        <f t="shared" si="24"/>
        <v>3.5999999999999996</v>
      </c>
      <c r="L180" s="8">
        <f t="shared" si="24"/>
        <v>12.060000000000002</v>
      </c>
      <c r="M180" s="8">
        <f t="shared" si="24"/>
        <v>44.160000000000004</v>
      </c>
      <c r="N180" s="8">
        <f t="shared" si="24"/>
        <v>8.8000000000000007</v>
      </c>
      <c r="O180" s="8">
        <f t="shared" si="24"/>
        <v>0</v>
      </c>
      <c r="P180" s="8">
        <f t="shared" si="24"/>
        <v>25.86</v>
      </c>
      <c r="Q180" s="1">
        <f>SUM(J180:P180)</f>
        <v>100</v>
      </c>
    </row>
    <row r="181" spans="2:17" hidden="1" x14ac:dyDescent="0.55000000000000004">
      <c r="E181" s="1">
        <f>SIM用基本データ!C19</f>
        <v>36.993408237600967</v>
      </c>
      <c r="F181" s="4">
        <f t="shared" ref="F181:P181" si="25">$E181*F180/100</f>
        <v>0</v>
      </c>
      <c r="G181" s="4">
        <f t="shared" si="25"/>
        <v>0</v>
      </c>
      <c r="H181" s="4">
        <f t="shared" si="25"/>
        <v>0</v>
      </c>
      <c r="I181" s="4">
        <f t="shared" si="25"/>
        <v>0</v>
      </c>
      <c r="J181" s="4">
        <f t="shared" si="25"/>
        <v>2.0420361347155733</v>
      </c>
      <c r="K181" s="4">
        <f t="shared" si="25"/>
        <v>1.3317626965536347</v>
      </c>
      <c r="L181" s="4">
        <f t="shared" si="25"/>
        <v>4.4614050334546773</v>
      </c>
      <c r="M181" s="4">
        <f t="shared" si="25"/>
        <v>16.33628907772459</v>
      </c>
      <c r="N181" s="4">
        <f t="shared" si="25"/>
        <v>3.2554199249088858</v>
      </c>
      <c r="O181" s="4">
        <f t="shared" si="25"/>
        <v>0</v>
      </c>
      <c r="P181" s="4">
        <f t="shared" si="25"/>
        <v>9.5664953702436097</v>
      </c>
      <c r="Q181" s="1">
        <f>SUM(H181:P181)</f>
        <v>36.993408237600967</v>
      </c>
    </row>
    <row r="182" spans="2:17" hidden="1" x14ac:dyDescent="0.55000000000000004">
      <c r="C182" s="1" t="s">
        <v>69</v>
      </c>
      <c r="D182" s="1" t="s">
        <v>71</v>
      </c>
      <c r="E182" s="1">
        <f>SIM用基本データ!C20</f>
        <v>0</v>
      </c>
      <c r="F182" s="8">
        <f t="shared" ref="F182:P182" si="26">F180+(F$186-F$176)/5</f>
        <v>0</v>
      </c>
      <c r="G182" s="8">
        <f t="shared" si="26"/>
        <v>0</v>
      </c>
      <c r="H182" s="8">
        <f t="shared" si="26"/>
        <v>0</v>
      </c>
      <c r="I182" s="8">
        <f t="shared" si="26"/>
        <v>0</v>
      </c>
      <c r="J182" s="8">
        <f t="shared" si="26"/>
        <v>3.6799999999999997</v>
      </c>
      <c r="K182" s="8">
        <f t="shared" si="26"/>
        <v>2.3999999999999995</v>
      </c>
      <c r="L182" s="8">
        <f t="shared" si="26"/>
        <v>8.0400000000000027</v>
      </c>
      <c r="M182" s="8">
        <f t="shared" si="26"/>
        <v>49.440000000000005</v>
      </c>
      <c r="N182" s="8">
        <f t="shared" si="26"/>
        <v>9.2000000000000011</v>
      </c>
      <c r="O182" s="8">
        <f t="shared" si="26"/>
        <v>0</v>
      </c>
      <c r="P182" s="8">
        <f t="shared" si="26"/>
        <v>27.24</v>
      </c>
      <c r="Q182" s="1">
        <f>SUM(J182:P182)</f>
        <v>100</v>
      </c>
    </row>
    <row r="183" spans="2:17" hidden="1" x14ac:dyDescent="0.55000000000000004">
      <c r="E183" s="1">
        <f>SIM用基本データ!C21</f>
        <v>36.176519096707565</v>
      </c>
      <c r="F183" s="4">
        <f t="shared" ref="F183:P183" si="27">$E183*F182/100</f>
        <v>0</v>
      </c>
      <c r="G183" s="4">
        <f t="shared" si="27"/>
        <v>0</v>
      </c>
      <c r="H183" s="4">
        <f t="shared" si="27"/>
        <v>0</v>
      </c>
      <c r="I183" s="4">
        <f t="shared" si="27"/>
        <v>0</v>
      </c>
      <c r="J183" s="4">
        <f t="shared" si="27"/>
        <v>1.3312959027588382</v>
      </c>
      <c r="K183" s="4">
        <f t="shared" si="27"/>
        <v>0.8682364583209814</v>
      </c>
      <c r="L183" s="4">
        <f t="shared" si="27"/>
        <v>2.9085921353752893</v>
      </c>
      <c r="M183" s="4">
        <f t="shared" si="27"/>
        <v>17.885671041412223</v>
      </c>
      <c r="N183" s="4">
        <f t="shared" si="27"/>
        <v>3.3282397568970965</v>
      </c>
      <c r="O183" s="4">
        <f t="shared" si="27"/>
        <v>0</v>
      </c>
      <c r="P183" s="4">
        <f t="shared" si="27"/>
        <v>9.8544838019431396</v>
      </c>
      <c r="Q183" s="1">
        <f>SUM(H183:P183)</f>
        <v>36.176519096707565</v>
      </c>
    </row>
    <row r="184" spans="2:17" hidden="1" x14ac:dyDescent="0.55000000000000004">
      <c r="C184" s="1" t="s">
        <v>70</v>
      </c>
      <c r="D184" s="1" t="s">
        <v>71</v>
      </c>
      <c r="E184" s="1">
        <f>SIM用基本データ!C22</f>
        <v>0</v>
      </c>
      <c r="F184" s="8">
        <f t="shared" ref="F184:P184" si="28">F182+(F$186-F$176)/5</f>
        <v>0</v>
      </c>
      <c r="G184" s="8">
        <f t="shared" si="28"/>
        <v>0</v>
      </c>
      <c r="H184" s="8">
        <f t="shared" si="28"/>
        <v>0</v>
      </c>
      <c r="I184" s="8">
        <f t="shared" si="28"/>
        <v>0</v>
      </c>
      <c r="J184" s="8">
        <f t="shared" si="28"/>
        <v>1.8399999999999999</v>
      </c>
      <c r="K184" s="8">
        <f t="shared" si="28"/>
        <v>1.1999999999999995</v>
      </c>
      <c r="L184" s="8">
        <f t="shared" si="28"/>
        <v>4.0200000000000022</v>
      </c>
      <c r="M184" s="8">
        <f t="shared" si="28"/>
        <v>54.720000000000006</v>
      </c>
      <c r="N184" s="8">
        <f t="shared" si="28"/>
        <v>9.6000000000000014</v>
      </c>
      <c r="O184" s="8">
        <f t="shared" si="28"/>
        <v>0</v>
      </c>
      <c r="P184" s="8">
        <f t="shared" si="28"/>
        <v>28.619999999999997</v>
      </c>
      <c r="Q184" s="1">
        <f>SUM(J184:P184)</f>
        <v>100</v>
      </c>
    </row>
    <row r="185" spans="2:17" hidden="1" x14ac:dyDescent="0.55000000000000004">
      <c r="E185" s="1">
        <f>SIM用基本データ!C23</f>
        <v>35.359629955814171</v>
      </c>
      <c r="F185" s="4">
        <f t="shared" ref="F185:P185" si="29">$E185*F184/100</f>
        <v>0</v>
      </c>
      <c r="G185" s="4">
        <f t="shared" si="29"/>
        <v>0</v>
      </c>
      <c r="H185" s="4">
        <f t="shared" si="29"/>
        <v>0</v>
      </c>
      <c r="I185" s="4">
        <f t="shared" si="29"/>
        <v>0</v>
      </c>
      <c r="J185" s="4">
        <f t="shared" si="29"/>
        <v>0.65061719118698069</v>
      </c>
      <c r="K185" s="4">
        <f t="shared" si="29"/>
        <v>0.42431555946976984</v>
      </c>
      <c r="L185" s="4">
        <f t="shared" si="29"/>
        <v>1.4214571242237304</v>
      </c>
      <c r="M185" s="4">
        <f t="shared" si="29"/>
        <v>19.348789511821519</v>
      </c>
      <c r="N185" s="4">
        <f t="shared" si="29"/>
        <v>3.394524475758161</v>
      </c>
      <c r="O185" s="4">
        <f t="shared" si="29"/>
        <v>0</v>
      </c>
      <c r="P185" s="4">
        <f t="shared" si="29"/>
        <v>10.119926093354014</v>
      </c>
      <c r="Q185" s="1">
        <f>SUM(H185:P185)</f>
        <v>35.359629955814171</v>
      </c>
    </row>
    <row r="186" spans="2:17" hidden="1" x14ac:dyDescent="0.55000000000000004">
      <c r="C186" s="1" t="s">
        <v>36</v>
      </c>
      <c r="D186" s="1" t="s">
        <v>71</v>
      </c>
      <c r="E186" s="1">
        <f>SIM用基本データ!C24</f>
        <v>0</v>
      </c>
      <c r="F186" s="20">
        <f t="shared" ref="F186:P186" si="30">F159</f>
        <v>0</v>
      </c>
      <c r="G186" s="20">
        <f t="shared" si="30"/>
        <v>0</v>
      </c>
      <c r="H186" s="20">
        <f t="shared" si="30"/>
        <v>0</v>
      </c>
      <c r="I186" s="20">
        <f t="shared" si="30"/>
        <v>0</v>
      </c>
      <c r="J186" s="20">
        <f t="shared" si="30"/>
        <v>0</v>
      </c>
      <c r="K186" s="20">
        <f t="shared" si="30"/>
        <v>0</v>
      </c>
      <c r="L186" s="20">
        <f t="shared" si="30"/>
        <v>0</v>
      </c>
      <c r="M186" s="20">
        <f t="shared" si="30"/>
        <v>60</v>
      </c>
      <c r="N186" s="20">
        <f t="shared" si="30"/>
        <v>10</v>
      </c>
      <c r="O186" s="20">
        <f t="shared" si="30"/>
        <v>0</v>
      </c>
      <c r="P186" s="20">
        <f t="shared" si="30"/>
        <v>30</v>
      </c>
    </row>
    <row r="187" spans="2:17" hidden="1" x14ac:dyDescent="0.55000000000000004">
      <c r="E187" s="1">
        <f>SIM用基本データ!C25</f>
        <v>34.542740814920776</v>
      </c>
      <c r="F187" s="4">
        <f t="shared" ref="F187:P187" si="31">$E187*F186/100</f>
        <v>0</v>
      </c>
      <c r="G187" s="4">
        <f t="shared" si="31"/>
        <v>0</v>
      </c>
      <c r="H187" s="4">
        <f t="shared" si="31"/>
        <v>0</v>
      </c>
      <c r="I187" s="4">
        <f t="shared" si="31"/>
        <v>0</v>
      </c>
      <c r="J187" s="4">
        <f t="shared" si="31"/>
        <v>0</v>
      </c>
      <c r="K187" s="4">
        <f t="shared" si="31"/>
        <v>0</v>
      </c>
      <c r="L187" s="4">
        <f t="shared" si="31"/>
        <v>0</v>
      </c>
      <c r="M187" s="4">
        <f t="shared" si="31"/>
        <v>20.725644488952465</v>
      </c>
      <c r="N187" s="4">
        <f t="shared" si="31"/>
        <v>3.4542740814920774</v>
      </c>
      <c r="O187" s="4">
        <f t="shared" si="31"/>
        <v>0</v>
      </c>
      <c r="P187" s="4">
        <f t="shared" si="31"/>
        <v>10.362822244476233</v>
      </c>
      <c r="Q187" s="1">
        <f>SUM(M187:P187)</f>
        <v>34.542740814920776</v>
      </c>
    </row>
    <row r="188" spans="2:17" hidden="1" x14ac:dyDescent="0.55000000000000004">
      <c r="E188" s="21" t="s">
        <v>45</v>
      </c>
      <c r="F188" s="16">
        <f t="shared" ref="F188:P188" si="32">F165+F167+F169+F171+F173+F175+F177+F179+F181+F183+F185+F187</f>
        <v>0</v>
      </c>
      <c r="G188" s="16">
        <f t="shared" si="32"/>
        <v>0</v>
      </c>
      <c r="H188" s="16">
        <f t="shared" si="32"/>
        <v>13.372146074360256</v>
      </c>
      <c r="I188" s="16">
        <f t="shared" si="32"/>
        <v>0</v>
      </c>
      <c r="J188" s="16">
        <f t="shared" si="32"/>
        <v>30.528675772777692</v>
      </c>
      <c r="K188" s="16">
        <f t="shared" si="32"/>
        <v>31.774948735535045</v>
      </c>
      <c r="L188" s="16">
        <f t="shared" si="32"/>
        <v>112.03067542412036</v>
      </c>
      <c r="M188" s="16">
        <f t="shared" si="32"/>
        <v>132.33669229075332</v>
      </c>
      <c r="N188" s="16">
        <f t="shared" si="32"/>
        <v>35.395091770656258</v>
      </c>
      <c r="O188" s="16">
        <f t="shared" si="32"/>
        <v>0</v>
      </c>
      <c r="P188" s="16">
        <f t="shared" si="32"/>
        <v>100.97658427437254</v>
      </c>
    </row>
    <row r="189" spans="2:17" hidden="1" x14ac:dyDescent="0.55000000000000004">
      <c r="E189" s="6" t="s">
        <v>74</v>
      </c>
      <c r="F189" s="15">
        <f t="shared" ref="F189:P189" si="33">F165+F167+F169</f>
        <v>0</v>
      </c>
      <c r="G189" s="15">
        <f t="shared" si="33"/>
        <v>0</v>
      </c>
      <c r="H189" s="15">
        <f t="shared" si="33"/>
        <v>12.493080000000001</v>
      </c>
      <c r="I189" s="15">
        <f t="shared" si="33"/>
        <v>0</v>
      </c>
      <c r="J189" s="15">
        <f t="shared" si="33"/>
        <v>9.7371200000000009</v>
      </c>
      <c r="K189" s="15">
        <f t="shared" si="33"/>
        <v>14.90138</v>
      </c>
      <c r="L189" s="15">
        <f t="shared" si="33"/>
        <v>53.34704</v>
      </c>
      <c r="M189" s="15">
        <f t="shared" si="33"/>
        <v>5.1480800000000002</v>
      </c>
      <c r="N189" s="15">
        <f t="shared" si="33"/>
        <v>7.2011199999999995</v>
      </c>
      <c r="O189" s="15">
        <f t="shared" si="33"/>
        <v>0</v>
      </c>
      <c r="P189" s="15">
        <f t="shared" si="33"/>
        <v>19.07892</v>
      </c>
    </row>
    <row r="190" spans="2:17" hidden="1" x14ac:dyDescent="0.55000000000000004">
      <c r="E190" s="17" t="s">
        <v>35</v>
      </c>
      <c r="F190" s="11">
        <f t="shared" ref="F190:P190" si="34">F188-F189</f>
        <v>0</v>
      </c>
      <c r="G190" s="11">
        <f t="shared" si="34"/>
        <v>0</v>
      </c>
      <c r="H190" s="11">
        <f t="shared" si="34"/>
        <v>0.87906607436025475</v>
      </c>
      <c r="I190" s="11">
        <f t="shared" si="34"/>
        <v>0</v>
      </c>
      <c r="J190" s="11">
        <f t="shared" si="34"/>
        <v>20.791555772777691</v>
      </c>
      <c r="K190" s="11">
        <f t="shared" si="34"/>
        <v>16.873568735535045</v>
      </c>
      <c r="L190" s="11">
        <f t="shared" si="34"/>
        <v>58.683635424120361</v>
      </c>
      <c r="M190" s="11">
        <f t="shared" si="34"/>
        <v>127.18861229075333</v>
      </c>
      <c r="N190" s="11">
        <f t="shared" si="34"/>
        <v>28.193971770656258</v>
      </c>
      <c r="O190" s="11">
        <f t="shared" si="34"/>
        <v>0</v>
      </c>
      <c r="P190" s="11">
        <f t="shared" si="34"/>
        <v>81.897664274372545</v>
      </c>
      <c r="Q190" s="1">
        <f>SUM(F190:P190)</f>
        <v>334.50807434257547</v>
      </c>
    </row>
    <row r="191" spans="2:17" hidden="1" x14ac:dyDescent="0.55000000000000004">
      <c r="E191" s="18" t="s">
        <v>62</v>
      </c>
      <c r="F191" s="19">
        <v>0</v>
      </c>
      <c r="G191" s="19">
        <f>SIM用基本データ!G71</f>
        <v>6</v>
      </c>
      <c r="H191" s="19">
        <f>SIM用基本データ!H71</f>
        <v>0.11087510211032559</v>
      </c>
      <c r="I191" s="19">
        <f>SIM用基本データ!I71</f>
        <v>0</v>
      </c>
      <c r="J191" s="19">
        <f>SIM用基本データ!J71</f>
        <v>76.611150109575249</v>
      </c>
      <c r="K191" s="19">
        <f>SIM用基本データ!K71</f>
        <v>29.126431264464955</v>
      </c>
      <c r="L191" s="19">
        <f>SIM用基本データ!L71</f>
        <v>133.31636457587965</v>
      </c>
      <c r="M191" s="19">
        <f>SIM用基本データ!M71</f>
        <v>29.811387709246674</v>
      </c>
      <c r="N191" s="19">
        <f>SIM用基本データ!N71</f>
        <v>7.8060282293437417</v>
      </c>
      <c r="O191" s="19">
        <f>SIM用基本データ!O71</f>
        <v>0</v>
      </c>
      <c r="P191" s="19">
        <f>SIM用基本データ!P71</f>
        <v>21.102335725627455</v>
      </c>
      <c r="Q191" s="1">
        <f>SUM(F191:P191)</f>
        <v>303.88457271624804</v>
      </c>
    </row>
    <row r="192" spans="2:17" hidden="1" x14ac:dyDescent="0.55000000000000004">
      <c r="B192" s="1" t="s">
        <v>84</v>
      </c>
      <c r="F192" s="2">
        <f>SIM用基本データ!F34</f>
        <v>1387</v>
      </c>
      <c r="G192" s="2">
        <f>SIM用基本データ!G34</f>
        <v>1025</v>
      </c>
      <c r="H192" s="2">
        <f>SIM用基本データ!H34</f>
        <v>478</v>
      </c>
      <c r="I192" s="2">
        <f>SIM用基本データ!I34</f>
        <v>86</v>
      </c>
      <c r="J192" s="2">
        <f>SIM用基本データ!J34</f>
        <v>56</v>
      </c>
      <c r="K192" s="2">
        <f>SIM用基本データ!K34</f>
        <v>7</v>
      </c>
      <c r="L192" s="2">
        <f>SIM用基本データ!L34</f>
        <v>10</v>
      </c>
      <c r="M192" s="2">
        <f>SIM用基本データ!M34</f>
        <v>0</v>
      </c>
      <c r="N192" s="2">
        <f>SIM用基本データ!N34</f>
        <v>0</v>
      </c>
      <c r="O192" s="2">
        <f>SIM用基本データ!O34</f>
        <v>0</v>
      </c>
      <c r="P192" s="2">
        <f>SIM用基本データ!P34</f>
        <v>0</v>
      </c>
      <c r="Q192" s="1">
        <f>SUM(F192:P192)</f>
        <v>3049</v>
      </c>
    </row>
    <row r="193" spans="2:18" hidden="1" x14ac:dyDescent="0.55000000000000004">
      <c r="B193" s="1" t="s">
        <v>85</v>
      </c>
      <c r="F193" s="1">
        <f>F192+F191</f>
        <v>1387</v>
      </c>
      <c r="G193" s="1">
        <f t="shared" ref="G193:P193" si="35">G192+G191</f>
        <v>1031</v>
      </c>
      <c r="H193" s="1">
        <f t="shared" si="35"/>
        <v>478.1108751021103</v>
      </c>
      <c r="I193" s="1">
        <f t="shared" si="35"/>
        <v>86</v>
      </c>
      <c r="J193" s="1">
        <f t="shared" si="35"/>
        <v>132.61115010957525</v>
      </c>
      <c r="K193" s="1">
        <f t="shared" si="35"/>
        <v>36.126431264464955</v>
      </c>
      <c r="L193" s="1">
        <f t="shared" si="35"/>
        <v>143.31636457587965</v>
      </c>
      <c r="M193" s="1">
        <f t="shared" si="35"/>
        <v>29.811387709246674</v>
      </c>
      <c r="N193" s="1">
        <f t="shared" si="35"/>
        <v>7.8060282293437417</v>
      </c>
      <c r="O193" s="1">
        <f t="shared" si="35"/>
        <v>0</v>
      </c>
      <c r="P193" s="1">
        <f t="shared" si="35"/>
        <v>21.102335725627455</v>
      </c>
      <c r="Q193" s="1">
        <f>SUM(F193:P193)</f>
        <v>3352.8845727162475</v>
      </c>
    </row>
    <row r="194" spans="2:18" hidden="1" x14ac:dyDescent="0.55000000000000004">
      <c r="B194" s="1" t="s">
        <v>86</v>
      </c>
      <c r="F194" s="1">
        <f>Q191*-1</f>
        <v>-303.88457271624804</v>
      </c>
    </row>
    <row r="195" spans="2:18" hidden="1" x14ac:dyDescent="0.55000000000000004">
      <c r="B195" s="1" t="s">
        <v>91</v>
      </c>
      <c r="F195" s="1">
        <f>F193+F194</f>
        <v>1083.1154272837521</v>
      </c>
      <c r="G195" s="1">
        <f t="shared" ref="G195:P195" si="36">G193+G194</f>
        <v>1031</v>
      </c>
      <c r="H195" s="1">
        <f t="shared" si="36"/>
        <v>478.1108751021103</v>
      </c>
      <c r="I195" s="1">
        <f t="shared" si="36"/>
        <v>86</v>
      </c>
      <c r="J195" s="1">
        <f t="shared" si="36"/>
        <v>132.61115010957525</v>
      </c>
      <c r="K195" s="1">
        <f t="shared" si="36"/>
        <v>36.126431264464955</v>
      </c>
      <c r="L195" s="1">
        <f t="shared" si="36"/>
        <v>143.31636457587965</v>
      </c>
      <c r="M195" s="1">
        <f t="shared" si="36"/>
        <v>29.811387709246674</v>
      </c>
      <c r="N195" s="1">
        <f t="shared" si="36"/>
        <v>7.8060282293437417</v>
      </c>
      <c r="O195" s="1">
        <f t="shared" si="36"/>
        <v>0</v>
      </c>
      <c r="P195" s="1">
        <f t="shared" si="36"/>
        <v>21.102335725627455</v>
      </c>
      <c r="Q195" s="1">
        <f>SUM(F195:P195)</f>
        <v>3048.9999999999995</v>
      </c>
    </row>
    <row r="196" spans="2:18" hidden="1" x14ac:dyDescent="0.55000000000000004">
      <c r="B196" s="1" t="s">
        <v>87</v>
      </c>
      <c r="F196" s="1">
        <f>F195+F190</f>
        <v>1083.1154272837521</v>
      </c>
      <c r="G196" s="1">
        <f t="shared" ref="G196:P196" si="37">G195+G190</f>
        <v>1031</v>
      </c>
      <c r="H196" s="1">
        <f t="shared" si="37"/>
        <v>478.98994117647055</v>
      </c>
      <c r="I196" s="1">
        <f t="shared" si="37"/>
        <v>86</v>
      </c>
      <c r="J196" s="1">
        <f t="shared" si="37"/>
        <v>153.40270588235293</v>
      </c>
      <c r="K196" s="1">
        <f t="shared" si="37"/>
        <v>53</v>
      </c>
      <c r="L196" s="1">
        <f t="shared" si="37"/>
        <v>202</v>
      </c>
      <c r="M196" s="1">
        <f t="shared" si="37"/>
        <v>157</v>
      </c>
      <c r="N196" s="1">
        <f t="shared" si="37"/>
        <v>36</v>
      </c>
      <c r="O196" s="1">
        <f t="shared" si="37"/>
        <v>0</v>
      </c>
      <c r="P196" s="1">
        <f t="shared" si="37"/>
        <v>103</v>
      </c>
    </row>
    <row r="197" spans="2:18" hidden="1" x14ac:dyDescent="0.55000000000000004">
      <c r="B197" s="1" t="s">
        <v>94</v>
      </c>
      <c r="F197" s="1">
        <f>Q190*-1</f>
        <v>-334.50807434257547</v>
      </c>
    </row>
    <row r="198" spans="2:18" hidden="1" x14ac:dyDescent="0.55000000000000004">
      <c r="B198" s="1" t="s">
        <v>92</v>
      </c>
      <c r="F198" s="1">
        <f>F196+F197</f>
        <v>748.6073529411766</v>
      </c>
      <c r="G198" s="1">
        <f t="shared" ref="G198:P198" si="38">G196+G197</f>
        <v>1031</v>
      </c>
      <c r="H198" s="1">
        <f t="shared" si="38"/>
        <v>478.98994117647055</v>
      </c>
      <c r="I198" s="1">
        <f t="shared" si="38"/>
        <v>86</v>
      </c>
      <c r="J198" s="1">
        <f t="shared" si="38"/>
        <v>153.40270588235293</v>
      </c>
      <c r="K198" s="1">
        <f t="shared" si="38"/>
        <v>53</v>
      </c>
      <c r="L198" s="1">
        <f t="shared" si="38"/>
        <v>202</v>
      </c>
      <c r="M198" s="1">
        <f t="shared" si="38"/>
        <v>157</v>
      </c>
      <c r="N198" s="1">
        <f t="shared" si="38"/>
        <v>36</v>
      </c>
      <c r="O198" s="1">
        <f t="shared" si="38"/>
        <v>0</v>
      </c>
      <c r="P198" s="1">
        <f t="shared" si="38"/>
        <v>103</v>
      </c>
      <c r="Q198" s="1">
        <f>SUM(F198:P198)</f>
        <v>3049</v>
      </c>
    </row>
    <row r="199" spans="2:18" hidden="1" x14ac:dyDescent="0.55000000000000004">
      <c r="B199" s="1" t="s">
        <v>88</v>
      </c>
      <c r="F199" s="1">
        <f>SIM用基本データ!F37</f>
        <v>-257</v>
      </c>
    </row>
    <row r="200" spans="2:18" hidden="1" x14ac:dyDescent="0.55000000000000004">
      <c r="B200" s="1" t="s">
        <v>93</v>
      </c>
      <c r="F200" s="1">
        <f>F198+F199</f>
        <v>491.6073529411766</v>
      </c>
      <c r="G200" s="1">
        <f t="shared" ref="G200:P200" si="39">G198+G199</f>
        <v>1031</v>
      </c>
      <c r="H200" s="1">
        <f t="shared" si="39"/>
        <v>478.98994117647055</v>
      </c>
      <c r="I200" s="1">
        <f t="shared" si="39"/>
        <v>86</v>
      </c>
      <c r="J200" s="1">
        <f t="shared" si="39"/>
        <v>153.40270588235293</v>
      </c>
      <c r="K200" s="1">
        <f t="shared" si="39"/>
        <v>53</v>
      </c>
      <c r="L200" s="1">
        <f t="shared" si="39"/>
        <v>202</v>
      </c>
      <c r="M200" s="1">
        <f t="shared" si="39"/>
        <v>157</v>
      </c>
      <c r="N200" s="1">
        <f t="shared" si="39"/>
        <v>36</v>
      </c>
      <c r="O200" s="1">
        <f t="shared" si="39"/>
        <v>0</v>
      </c>
      <c r="P200" s="1">
        <f t="shared" si="39"/>
        <v>103</v>
      </c>
      <c r="Q200" s="1">
        <f>SUM(F200:P200)</f>
        <v>2792</v>
      </c>
    </row>
    <row r="201" spans="2:18" hidden="1" x14ac:dyDescent="0.55000000000000004">
      <c r="B201" s="1" t="s">
        <v>98</v>
      </c>
      <c r="F201" s="1">
        <f t="shared" ref="F201:P201" si="40">F162*F200</f>
        <v>66072.028235294143</v>
      </c>
      <c r="G201" s="1">
        <f t="shared" si="40"/>
        <v>95986.099999999991</v>
      </c>
      <c r="H201" s="1">
        <f t="shared" si="40"/>
        <v>43109.094705882351</v>
      </c>
      <c r="I201" s="1">
        <f t="shared" si="40"/>
        <v>6940.2</v>
      </c>
      <c r="J201" s="1">
        <f t="shared" si="40"/>
        <v>12379.598364705882</v>
      </c>
      <c r="K201" s="1">
        <f t="shared" si="40"/>
        <v>3964.3999999999996</v>
      </c>
      <c r="L201" s="1">
        <f t="shared" si="40"/>
        <v>14503.599999999999</v>
      </c>
      <c r="M201" s="1">
        <f t="shared" si="40"/>
        <v>10801.6</v>
      </c>
      <c r="N201" s="1">
        <f t="shared" si="40"/>
        <v>2368.7999999999997</v>
      </c>
      <c r="O201" s="1">
        <f t="shared" si="40"/>
        <v>0</v>
      </c>
      <c r="P201" s="1">
        <f t="shared" si="40"/>
        <v>6169.7</v>
      </c>
      <c r="Q201" s="1">
        <f>SUM(F201:P201)</f>
        <v>262295.12130588241</v>
      </c>
    </row>
    <row r="202" spans="2:18" hidden="1" x14ac:dyDescent="0.55000000000000004"/>
    <row r="203" spans="2:18" hidden="1" x14ac:dyDescent="0.55000000000000004"/>
    <row r="204" spans="2:18" hidden="1" x14ac:dyDescent="0.55000000000000004">
      <c r="B204" s="1" t="s">
        <v>97</v>
      </c>
    </row>
    <row r="205" spans="2:18" hidden="1" x14ac:dyDescent="0.55000000000000004">
      <c r="E205" s="1" t="s">
        <v>101</v>
      </c>
      <c r="F205" s="1" t="s">
        <v>102</v>
      </c>
      <c r="G205" s="1" t="s">
        <v>104</v>
      </c>
      <c r="H205" s="22" t="s">
        <v>105</v>
      </c>
      <c r="I205" s="1" t="s">
        <v>106</v>
      </c>
      <c r="J205" s="22" t="s">
        <v>107</v>
      </c>
      <c r="K205" s="1" t="s">
        <v>108</v>
      </c>
      <c r="L205" s="1" t="s">
        <v>109</v>
      </c>
      <c r="M205" s="1" t="s">
        <v>110</v>
      </c>
      <c r="N205" s="1" t="s">
        <v>111</v>
      </c>
      <c r="O205" s="22" t="s">
        <v>112</v>
      </c>
      <c r="P205" s="1" t="s">
        <v>113</v>
      </c>
      <c r="R205" s="1" t="s">
        <v>357</v>
      </c>
    </row>
    <row r="206" spans="2:18" hidden="1" x14ac:dyDescent="0.55000000000000004">
      <c r="D206" s="1" t="s">
        <v>99</v>
      </c>
      <c r="E206" s="1">
        <f>Q201</f>
        <v>262295.12130588241</v>
      </c>
      <c r="F206" s="1">
        <f>SIM用基本データ!Q43</f>
        <v>274349.8</v>
      </c>
      <c r="G206" s="1">
        <f>F206-E206</f>
        <v>12054.678694117581</v>
      </c>
      <c r="H206" s="1">
        <v>2.58E-2</v>
      </c>
      <c r="I206" s="1">
        <f>G206*H206</f>
        <v>311.01071030823363</v>
      </c>
      <c r="J206" s="1">
        <v>0.25</v>
      </c>
      <c r="K206" s="1">
        <f>I206*J206</f>
        <v>77.752677577058407</v>
      </c>
      <c r="L206" s="1">
        <f>K206*3.6/9.76</f>
        <v>28.679266319406793</v>
      </c>
      <c r="M206" s="1">
        <f>I206-K206</f>
        <v>233.25803273117521</v>
      </c>
      <c r="N206" s="1">
        <f>L206+M206</f>
        <v>261.937299050582</v>
      </c>
      <c r="O206" s="1">
        <v>0.63</v>
      </c>
      <c r="P206" s="1">
        <f>N206*O206</f>
        <v>165.02049840186666</v>
      </c>
      <c r="R206" s="1">
        <v>165.02049840186666</v>
      </c>
    </row>
    <row r="207" spans="2:18" hidden="1" x14ac:dyDescent="0.55000000000000004">
      <c r="E207" s="1">
        <v>264296.20776263281</v>
      </c>
      <c r="O207" s="4" t="s">
        <v>111</v>
      </c>
      <c r="P207" s="4">
        <f>SUM(P206:P206)</f>
        <v>165.02049840186666</v>
      </c>
      <c r="Q207" s="1" t="s">
        <v>211</v>
      </c>
    </row>
    <row r="208" spans="2:18" hidden="1" x14ac:dyDescent="0.55000000000000004">
      <c r="O208" s="1" t="s">
        <v>217</v>
      </c>
      <c r="P208" s="1">
        <v>253</v>
      </c>
      <c r="Q208" s="1" t="s">
        <v>211</v>
      </c>
    </row>
    <row r="209" spans="1:17" hidden="1" x14ac:dyDescent="0.55000000000000004">
      <c r="A209" s="4" t="s">
        <v>368</v>
      </c>
    </row>
    <row r="210" spans="1:17" hidden="1" x14ac:dyDescent="0.55000000000000004"/>
    <row r="211" spans="1:17" hidden="1" x14ac:dyDescent="0.55000000000000004">
      <c r="A211" s="4"/>
      <c r="C211" s="1" t="s">
        <v>119</v>
      </c>
      <c r="E211" s="14"/>
      <c r="F211" s="9">
        <v>0.94799999999999995</v>
      </c>
    </row>
    <row r="212" spans="1:17" hidden="1" x14ac:dyDescent="0.55000000000000004">
      <c r="C212" s="1" t="s">
        <v>118</v>
      </c>
      <c r="E212" s="14">
        <f>E67*9*F211</f>
        <v>213.29999999999998</v>
      </c>
      <c r="F212" s="1">
        <f>$E212*D$76/($D76+$E76+$F76)</f>
        <v>78.419117647058826</v>
      </c>
      <c r="G212" s="1">
        <f>$E212*E$76/($D76+$E76+$F76)</f>
        <v>78.419117647058826</v>
      </c>
      <c r="H212" s="1">
        <f>$E212*F$76/($D76+$E76+$F76)</f>
        <v>56.461764705882352</v>
      </c>
      <c r="I212" s="14"/>
    </row>
    <row r="213" spans="1:17" hidden="1" x14ac:dyDescent="0.55000000000000004">
      <c r="E213" s="1" t="s">
        <v>121</v>
      </c>
      <c r="F213" s="1">
        <f>F212*-1</f>
        <v>-78.419117647058826</v>
      </c>
      <c r="G213" s="1">
        <f>F212-G212</f>
        <v>0</v>
      </c>
      <c r="H213" s="1">
        <f>G212-H212</f>
        <v>21.957352941176474</v>
      </c>
      <c r="J213" s="1">
        <f>H212</f>
        <v>56.461764705882352</v>
      </c>
    </row>
    <row r="214" spans="1:17" hidden="1" x14ac:dyDescent="0.55000000000000004"/>
    <row r="215" spans="1:17" hidden="1" x14ac:dyDescent="0.55000000000000004">
      <c r="C215" s="1" t="s">
        <v>122</v>
      </c>
      <c r="F215" s="1" t="s">
        <v>41</v>
      </c>
      <c r="G215" s="1" t="s">
        <v>27</v>
      </c>
      <c r="H215" s="1" t="s">
        <v>28</v>
      </c>
      <c r="I215" s="1" t="s">
        <v>29</v>
      </c>
      <c r="J215" s="1" t="s">
        <v>30</v>
      </c>
    </row>
    <row r="216" spans="1:17" hidden="1" x14ac:dyDescent="0.55000000000000004">
      <c r="E216" s="1">
        <f>E67*9*F211</f>
        <v>213.29999999999998</v>
      </c>
      <c r="F216" s="1">
        <f>$E$216*D78/($D$78+$E$78+$F$78)</f>
        <v>78.419117647058826</v>
      </c>
      <c r="G216" s="1">
        <f>$E$216*E78/($D$78+$E$78+$F$78)</f>
        <v>78.419117647058826</v>
      </c>
      <c r="H216" s="1">
        <f>$E$216*F78/($D$78+$E$78+$F$78)</f>
        <v>56.461764705882352</v>
      </c>
    </row>
    <row r="217" spans="1:17" hidden="1" x14ac:dyDescent="0.55000000000000004">
      <c r="E217" s="1" t="s">
        <v>121</v>
      </c>
      <c r="F217" s="1">
        <f>F216*-1</f>
        <v>-78.419117647058826</v>
      </c>
      <c r="G217" s="1">
        <f>G216*-1</f>
        <v>-78.419117647058826</v>
      </c>
      <c r="H217" s="1">
        <f>H216*-1</f>
        <v>-56.461764705882352</v>
      </c>
      <c r="J217" s="1">
        <f>E216</f>
        <v>213.29999999999998</v>
      </c>
    </row>
    <row r="218" spans="1:17" hidden="1" x14ac:dyDescent="0.55000000000000004"/>
    <row r="219" spans="1:17" hidden="1" x14ac:dyDescent="0.55000000000000004">
      <c r="F219" s="1" t="s">
        <v>41</v>
      </c>
      <c r="G219" s="1" t="s">
        <v>27</v>
      </c>
      <c r="H219" s="1" t="s">
        <v>28</v>
      </c>
      <c r="I219" s="1" t="s">
        <v>29</v>
      </c>
      <c r="J219" s="1" t="s">
        <v>30</v>
      </c>
      <c r="K219" s="1" t="s">
        <v>39</v>
      </c>
      <c r="L219" s="1" t="s">
        <v>31</v>
      </c>
      <c r="M219" s="1" t="s">
        <v>32</v>
      </c>
      <c r="N219" s="1" t="s">
        <v>33</v>
      </c>
      <c r="O219" s="1" t="s">
        <v>43</v>
      </c>
      <c r="P219" s="1" t="s">
        <v>34</v>
      </c>
    </row>
    <row r="220" spans="1:17" hidden="1" x14ac:dyDescent="0.55000000000000004">
      <c r="B220" s="4"/>
      <c r="C220" s="1" t="s">
        <v>130</v>
      </c>
      <c r="F220" s="1">
        <f>SIM用基本データ!F30</f>
        <v>134.4</v>
      </c>
      <c r="G220" s="1">
        <f>SIM用基本データ!G30</f>
        <v>93.1</v>
      </c>
      <c r="H220" s="1">
        <f>SIM用基本データ!H30</f>
        <v>90</v>
      </c>
      <c r="I220" s="1">
        <f>SIM用基本データ!I30</f>
        <v>80.7</v>
      </c>
      <c r="J220" s="1">
        <f>SIM用基本データ!J30</f>
        <v>80.7</v>
      </c>
      <c r="K220" s="1">
        <f>SIM用基本データ!K30</f>
        <v>74.8</v>
      </c>
      <c r="L220" s="1">
        <f>SIM用基本データ!L30</f>
        <v>71.8</v>
      </c>
      <c r="M220" s="1">
        <f>SIM用基本データ!M30</f>
        <v>68.8</v>
      </c>
      <c r="N220" s="1">
        <f>SIM用基本データ!N30</f>
        <v>65.8</v>
      </c>
      <c r="O220" s="1">
        <f>SIM用基本データ!O30</f>
        <v>0</v>
      </c>
      <c r="P220" s="1">
        <f>SIM用基本データ!P30</f>
        <v>59.9</v>
      </c>
    </row>
    <row r="221" spans="1:17" hidden="1" x14ac:dyDescent="0.55000000000000004">
      <c r="C221" s="1" t="s">
        <v>72</v>
      </c>
      <c r="F221" s="1">
        <f>SIM用基本データ!F52</f>
        <v>1336.8117647058823</v>
      </c>
      <c r="G221" s="1">
        <f>SIM用基本データ!G52</f>
        <v>1025</v>
      </c>
      <c r="H221" s="1">
        <f>SIM用基本データ!H52</f>
        <v>492.05270588235294</v>
      </c>
      <c r="I221" s="1">
        <f>SIM用基本データ!I52</f>
        <v>86</v>
      </c>
      <c r="J221" s="1">
        <f>SIM用基本データ!J52</f>
        <v>92.135529411764708</v>
      </c>
      <c r="K221" s="1">
        <f>SIM用基本データ!K52</f>
        <v>7</v>
      </c>
      <c r="L221" s="1">
        <f>SIM用基本データ!L52</f>
        <v>10</v>
      </c>
      <c r="M221" s="1">
        <f>SIM用基本データ!M52</f>
        <v>0</v>
      </c>
      <c r="N221" s="1">
        <f>SIM用基本データ!N52</f>
        <v>0</v>
      </c>
      <c r="O221" s="1">
        <f>SIM用基本データ!O52</f>
        <v>0</v>
      </c>
      <c r="P221" s="1">
        <f>SIM用基本データ!P52</f>
        <v>0</v>
      </c>
      <c r="Q221" s="1">
        <f>SUM(F221:P221)</f>
        <v>3049</v>
      </c>
    </row>
    <row r="222" spans="1:17" hidden="1" x14ac:dyDescent="0.55000000000000004">
      <c r="C222" s="1" t="s">
        <v>132</v>
      </c>
      <c r="F222" s="1">
        <f>IF($C$72="①",F213,F217)</f>
        <v>-78.419117647058826</v>
      </c>
      <c r="G222" s="1">
        <f>IF($C$72="①",G213,G217)</f>
        <v>0</v>
      </c>
      <c r="H222" s="1">
        <f>IF($C$72="①",H213,H217)</f>
        <v>21.957352941176474</v>
      </c>
      <c r="I222" s="1">
        <v>0</v>
      </c>
      <c r="J222" s="1">
        <f>IF($C$72="①",J213,J217)</f>
        <v>56.461764705882352</v>
      </c>
      <c r="K222" s="1">
        <v>0</v>
      </c>
      <c r="L222" s="1">
        <v>0</v>
      </c>
      <c r="M222" s="1">
        <f>M221</f>
        <v>0</v>
      </c>
      <c r="N222" s="1">
        <f>N221</f>
        <v>0</v>
      </c>
      <c r="O222" s="1">
        <f>O221</f>
        <v>0</v>
      </c>
      <c r="P222" s="1">
        <f>P221</f>
        <v>0</v>
      </c>
    </row>
    <row r="223" spans="1:17" hidden="1" x14ac:dyDescent="0.55000000000000004">
      <c r="C223" s="1" t="s">
        <v>46</v>
      </c>
      <c r="F223" s="1">
        <f t="shared" ref="F223:P223" si="41">F221+F222</f>
        <v>1258.3926470588235</v>
      </c>
      <c r="G223" s="1">
        <f t="shared" si="41"/>
        <v>1025</v>
      </c>
      <c r="H223" s="14">
        <f t="shared" si="41"/>
        <v>514.01005882352945</v>
      </c>
      <c r="I223" s="1">
        <f t="shared" si="41"/>
        <v>86</v>
      </c>
      <c r="J223" s="1">
        <f t="shared" si="41"/>
        <v>148.59729411764707</v>
      </c>
      <c r="K223" s="1">
        <f t="shared" si="41"/>
        <v>7</v>
      </c>
      <c r="L223" s="1">
        <f t="shared" si="41"/>
        <v>10</v>
      </c>
      <c r="M223" s="1">
        <f t="shared" si="41"/>
        <v>0</v>
      </c>
      <c r="N223" s="1">
        <f t="shared" si="41"/>
        <v>0</v>
      </c>
      <c r="O223" s="1">
        <f t="shared" si="41"/>
        <v>0</v>
      </c>
      <c r="P223" s="1">
        <f t="shared" si="41"/>
        <v>0</v>
      </c>
      <c r="Q223" s="1">
        <f>SUM(F223:P223)</f>
        <v>3049</v>
      </c>
    </row>
    <row r="224" spans="1:17" hidden="1" x14ac:dyDescent="0.55000000000000004">
      <c r="C224" s="1" t="s">
        <v>131</v>
      </c>
      <c r="F224" s="1">
        <f t="shared" ref="F224:P224" si="42">F220*F223</f>
        <v>169127.9717647059</v>
      </c>
      <c r="G224" s="1">
        <f t="shared" si="42"/>
        <v>95427.5</v>
      </c>
      <c r="H224" s="14">
        <f t="shared" si="42"/>
        <v>46260.905294117649</v>
      </c>
      <c r="I224" s="1">
        <f t="shared" si="42"/>
        <v>6940.2</v>
      </c>
      <c r="J224" s="1">
        <f t="shared" si="42"/>
        <v>11991.801635294119</v>
      </c>
      <c r="K224" s="1">
        <f t="shared" si="42"/>
        <v>523.6</v>
      </c>
      <c r="L224" s="1">
        <f t="shared" si="42"/>
        <v>718</v>
      </c>
      <c r="M224" s="1">
        <f t="shared" si="42"/>
        <v>0</v>
      </c>
      <c r="N224" s="1">
        <f t="shared" si="42"/>
        <v>0</v>
      </c>
      <c r="O224" s="1">
        <f t="shared" si="42"/>
        <v>0</v>
      </c>
      <c r="P224" s="1">
        <f t="shared" si="42"/>
        <v>0</v>
      </c>
      <c r="Q224" s="12">
        <f>SUM(F224:P224)</f>
        <v>330989.97869411763</v>
      </c>
    </row>
    <row r="225" spans="2:18" hidden="1" x14ac:dyDescent="0.55000000000000004"/>
    <row r="226" spans="2:18" hidden="1" x14ac:dyDescent="0.55000000000000004">
      <c r="B226" s="4" t="s">
        <v>97</v>
      </c>
    </row>
    <row r="227" spans="2:18" hidden="1" x14ac:dyDescent="0.55000000000000004">
      <c r="E227" s="1" t="s">
        <v>59</v>
      </c>
      <c r="F227" s="1" t="s">
        <v>55</v>
      </c>
      <c r="G227" s="1" t="s">
        <v>42</v>
      </c>
      <c r="H227" s="22" t="s">
        <v>51</v>
      </c>
      <c r="I227" s="1" t="s">
        <v>53</v>
      </c>
      <c r="J227" s="22" t="s">
        <v>107</v>
      </c>
      <c r="K227" s="1" t="s">
        <v>52</v>
      </c>
      <c r="L227" s="1" t="s">
        <v>54</v>
      </c>
      <c r="M227" s="1" t="s">
        <v>60</v>
      </c>
      <c r="N227" s="1" t="s">
        <v>26</v>
      </c>
      <c r="O227" s="22" t="s">
        <v>112</v>
      </c>
      <c r="P227" s="1" t="s">
        <v>61</v>
      </c>
      <c r="R227" s="1" t="s">
        <v>357</v>
      </c>
    </row>
    <row r="228" spans="2:18" hidden="1" x14ac:dyDescent="0.55000000000000004">
      <c r="D228" s="1" t="s">
        <v>22</v>
      </c>
      <c r="E228" s="1">
        <f>Q224</f>
        <v>330989.97869411763</v>
      </c>
      <c r="F228" s="1">
        <f>SIM用基本データ!Q58</f>
        <v>337561.30000000005</v>
      </c>
      <c r="G228" s="1">
        <f>F228-E228</f>
        <v>6571.3213058824185</v>
      </c>
      <c r="H228" s="1">
        <f>H206</f>
        <v>2.58E-2</v>
      </c>
      <c r="I228" s="1">
        <f>G228*H228</f>
        <v>169.54008969176641</v>
      </c>
      <c r="J228" s="1">
        <v>0.26</v>
      </c>
      <c r="K228" s="1">
        <f>I228*J228</f>
        <v>44.080423319859271</v>
      </c>
      <c r="L228" s="1">
        <f>K228*3.6/9.76</f>
        <v>16.259172536013669</v>
      </c>
      <c r="M228" s="1">
        <f>I228-K228</f>
        <v>125.45966637190713</v>
      </c>
      <c r="N228" s="1">
        <f>L228+M228</f>
        <v>141.7188389079208</v>
      </c>
      <c r="O228" s="1">
        <v>0.63</v>
      </c>
      <c r="P228" s="1">
        <f>N228*O228</f>
        <v>89.282868511990102</v>
      </c>
      <c r="R228" s="1">
        <v>89.282868511990102</v>
      </c>
    </row>
    <row r="229" spans="2:18" hidden="1" x14ac:dyDescent="0.55000000000000004">
      <c r="H229" s="1" t="s">
        <v>208</v>
      </c>
      <c r="O229" s="1" t="s">
        <v>134</v>
      </c>
      <c r="P229" s="4">
        <f>SUM(P228:P228)</f>
        <v>89.282868511990102</v>
      </c>
      <c r="Q229" s="1" t="s">
        <v>211</v>
      </c>
    </row>
    <row r="230" spans="2:18" hidden="1" x14ac:dyDescent="0.55000000000000004">
      <c r="B230" s="4" t="s">
        <v>457</v>
      </c>
      <c r="P230" s="5"/>
    </row>
    <row r="231" spans="2:18" hidden="1" x14ac:dyDescent="0.55000000000000004">
      <c r="B231" s="1" t="s">
        <v>442</v>
      </c>
      <c r="E231" s="1">
        <v>337561.30000000005</v>
      </c>
      <c r="F231" s="1" t="s">
        <v>441</v>
      </c>
    </row>
    <row r="232" spans="2:18" hidden="1" x14ac:dyDescent="0.55000000000000004">
      <c r="B232" s="1" t="s">
        <v>442</v>
      </c>
      <c r="E232" s="1">
        <f>E231/100</f>
        <v>3375.6130000000003</v>
      </c>
      <c r="F232" s="1" t="s">
        <v>444</v>
      </c>
    </row>
    <row r="233" spans="2:18" hidden="1" x14ac:dyDescent="0.55000000000000004">
      <c r="B233" s="1" t="s">
        <v>448</v>
      </c>
      <c r="E233" s="1">
        <v>1870</v>
      </c>
      <c r="F233" s="1" t="s">
        <v>444</v>
      </c>
      <c r="G233" s="1" t="s">
        <v>445</v>
      </c>
    </row>
    <row r="234" spans="2:18" hidden="1" x14ac:dyDescent="0.55000000000000004">
      <c r="B234" s="1" t="s">
        <v>447</v>
      </c>
      <c r="E234" s="1">
        <v>-6.9</v>
      </c>
      <c r="F234" s="1" t="s">
        <v>446</v>
      </c>
    </row>
    <row r="235" spans="2:18" hidden="1" x14ac:dyDescent="0.55000000000000004">
      <c r="B235" s="1" t="s">
        <v>449</v>
      </c>
      <c r="E235" s="1">
        <f>E233/((100+E234)/100)</f>
        <v>2008.59291084855</v>
      </c>
      <c r="F235" s="1" t="s">
        <v>444</v>
      </c>
      <c r="G235" s="4"/>
      <c r="H235" s="4"/>
      <c r="I235" s="4"/>
      <c r="J235" s="4"/>
    </row>
    <row r="236" spans="2:18" hidden="1" x14ac:dyDescent="0.55000000000000004">
      <c r="B236" s="1" t="s">
        <v>450</v>
      </c>
      <c r="E236" s="1">
        <v>2680</v>
      </c>
      <c r="F236" s="10" t="s">
        <v>451</v>
      </c>
      <c r="G236" s="10"/>
      <c r="H236" s="10"/>
      <c r="I236" s="10"/>
      <c r="J236" s="10"/>
    </row>
    <row r="237" spans="2:18" hidden="1" x14ac:dyDescent="0.55000000000000004">
      <c r="B237" s="1" t="s">
        <v>447</v>
      </c>
      <c r="E237" s="1">
        <v>-6.2</v>
      </c>
      <c r="F237" s="23" t="s">
        <v>446</v>
      </c>
      <c r="G237" s="23"/>
      <c r="H237" s="23"/>
      <c r="I237" s="23"/>
      <c r="J237" s="23"/>
      <c r="K237" s="14"/>
      <c r="L237" s="14"/>
      <c r="M237" s="14"/>
      <c r="N237" s="14"/>
      <c r="O237" s="14"/>
      <c r="P237" s="14"/>
      <c r="Q237" s="14"/>
    </row>
    <row r="238" spans="2:18" hidden="1" x14ac:dyDescent="0.55000000000000004">
      <c r="B238" s="1" t="s">
        <v>452</v>
      </c>
      <c r="E238" s="1">
        <f>E236/((100+E237)/100)</f>
        <v>2857.1428571428573</v>
      </c>
      <c r="F238" s="10" t="s">
        <v>451</v>
      </c>
      <c r="G238" s="23"/>
      <c r="H238" s="23"/>
      <c r="I238" s="23"/>
      <c r="J238" s="23"/>
      <c r="K238" s="14"/>
      <c r="L238" s="14"/>
      <c r="M238" s="14"/>
      <c r="N238" s="14"/>
      <c r="O238" s="14"/>
      <c r="P238" s="14"/>
      <c r="Q238" s="14"/>
    </row>
    <row r="239" spans="2:18" hidden="1" x14ac:dyDescent="0.55000000000000004">
      <c r="B239" s="1" t="s">
        <v>455</v>
      </c>
      <c r="E239" s="1">
        <f>E238*9.76</f>
        <v>27885.714285714286</v>
      </c>
      <c r="F239" s="10" t="s">
        <v>454</v>
      </c>
      <c r="G239" s="13"/>
      <c r="H239" s="13"/>
      <c r="I239" s="13"/>
      <c r="J239" s="13"/>
    </row>
    <row r="240" spans="2:18" hidden="1" x14ac:dyDescent="0.55000000000000004">
      <c r="B240" s="1" t="s">
        <v>455</v>
      </c>
      <c r="E240" s="1">
        <f>E239/10</f>
        <v>2788.5714285714284</v>
      </c>
      <c r="F240" s="10" t="s">
        <v>444</v>
      </c>
      <c r="G240" s="13"/>
      <c r="H240" s="13"/>
      <c r="I240" s="13"/>
      <c r="J240" s="13"/>
    </row>
    <row r="241" spans="1:23" hidden="1" x14ac:dyDescent="0.55000000000000004">
      <c r="B241" s="1" t="s">
        <v>453</v>
      </c>
      <c r="E241" s="1">
        <f>E238*3.6</f>
        <v>10285.714285714286</v>
      </c>
      <c r="F241" s="1" t="s">
        <v>454</v>
      </c>
    </row>
    <row r="242" spans="1:23" hidden="1" x14ac:dyDescent="0.55000000000000004">
      <c r="B242" s="1" t="s">
        <v>453</v>
      </c>
      <c r="E242" s="1">
        <f>E241/10</f>
        <v>1028.5714285714287</v>
      </c>
      <c r="F242" s="1" t="s">
        <v>444</v>
      </c>
    </row>
    <row r="243" spans="1:23" hidden="1" x14ac:dyDescent="0.55000000000000004">
      <c r="B243" s="1" t="s">
        <v>456</v>
      </c>
      <c r="E243" s="1">
        <f>E233-E242</f>
        <v>841.42857142857133</v>
      </c>
      <c r="F243" s="1" t="s">
        <v>444</v>
      </c>
    </row>
    <row r="244" spans="1:23" hidden="1" x14ac:dyDescent="0.55000000000000004">
      <c r="B244" s="1" t="s">
        <v>443</v>
      </c>
      <c r="E244" s="1">
        <f>E240+E243</f>
        <v>3630</v>
      </c>
      <c r="F244" s="1" t="s">
        <v>444</v>
      </c>
      <c r="G244" s="4"/>
      <c r="H244" s="4"/>
      <c r="I244" s="4"/>
      <c r="J244" s="4"/>
    </row>
    <row r="245" spans="1:23" hidden="1" x14ac:dyDescent="0.55000000000000004">
      <c r="B245" s="1" t="s">
        <v>457</v>
      </c>
      <c r="E245" s="1">
        <f>E244/E232</f>
        <v>1.0753602382737593</v>
      </c>
      <c r="F245" s="10"/>
      <c r="G245" s="10"/>
      <c r="H245" s="10"/>
    </row>
    <row r="246" spans="1:23" hidden="1" x14ac:dyDescent="0.55000000000000004">
      <c r="F246" s="10"/>
      <c r="G246" s="10"/>
      <c r="H246" s="10"/>
    </row>
    <row r="247" spans="1:23" hidden="1" x14ac:dyDescent="0.55000000000000004">
      <c r="A247" s="4" t="s">
        <v>513</v>
      </c>
      <c r="F247" s="10"/>
      <c r="G247" s="10"/>
      <c r="H247" s="10"/>
    </row>
    <row r="248" spans="1:23" hidden="1" x14ac:dyDescent="0.55000000000000004">
      <c r="F248" s="10" t="str">
        <f>SIM用基本データ!F167</f>
        <v>無断熱</v>
      </c>
      <c r="G248" s="10" t="str">
        <f>SIM用基本データ!G167</f>
        <v>S55</v>
      </c>
      <c r="H248" s="10" t="str">
        <f>SIM用基本データ!H167</f>
        <v>H4</v>
      </c>
      <c r="I248" s="10" t="str">
        <f>SIM用基本データ!I167</f>
        <v>H11</v>
      </c>
      <c r="J248" s="10" t="str">
        <f>SIM用基本データ!J167</f>
        <v>BEI1.0</v>
      </c>
      <c r="K248" s="10" t="str">
        <f>SIM用基本データ!K167</f>
        <v>BEI0.9</v>
      </c>
      <c r="L248" s="10" t="str">
        <f>SIM用基本データ!L167</f>
        <v>BEI0.85</v>
      </c>
      <c r="M248" s="10" t="str">
        <f>SIM用基本データ!M167</f>
        <v>BEI0.8</v>
      </c>
      <c r="N248" s="10" t="str">
        <f>SIM用基本データ!N167</f>
        <v>BEI0.75</v>
      </c>
      <c r="O248" s="10" t="str">
        <f>SIM用基本データ!O167</f>
        <v>BEI0.7</v>
      </c>
      <c r="P248" s="1" t="s">
        <v>515</v>
      </c>
      <c r="Q248" s="1" t="s">
        <v>517</v>
      </c>
      <c r="R248" s="1" t="s">
        <v>518</v>
      </c>
      <c r="S248" s="1" t="s">
        <v>519</v>
      </c>
    </row>
    <row r="249" spans="1:23" hidden="1" x14ac:dyDescent="0.55000000000000004">
      <c r="F249" s="10">
        <v>134.4</v>
      </c>
      <c r="G249" s="10">
        <v>93.1</v>
      </c>
      <c r="H249" s="10">
        <v>90</v>
      </c>
      <c r="I249" s="10">
        <v>80.7</v>
      </c>
      <c r="J249" s="10">
        <v>80.7</v>
      </c>
      <c r="K249" s="10">
        <v>74.8</v>
      </c>
      <c r="L249" s="10">
        <v>71.8</v>
      </c>
      <c r="M249" s="10">
        <v>68.8</v>
      </c>
      <c r="N249" s="10">
        <v>65.8</v>
      </c>
      <c r="O249" s="10">
        <v>0</v>
      </c>
      <c r="P249" s="1">
        <v>59.9</v>
      </c>
      <c r="Q249" s="1">
        <f>J162</f>
        <v>80.7</v>
      </c>
      <c r="R249" s="1">
        <f>K162</f>
        <v>74.8</v>
      </c>
      <c r="S249" s="1">
        <f>L162</f>
        <v>71.8</v>
      </c>
    </row>
    <row r="250" spans="1:23" hidden="1" x14ac:dyDescent="0.55000000000000004">
      <c r="F250" s="10">
        <f>SIM用基本データ!F169</f>
        <v>911.9860155190463</v>
      </c>
      <c r="G250" s="10">
        <f>SIM用基本データ!G169</f>
        <v>1031</v>
      </c>
      <c r="H250" s="10">
        <f>SIM用基本データ!H169</f>
        <v>492.16358098446318</v>
      </c>
      <c r="I250" s="10">
        <f>SIM用基本データ!I169</f>
        <v>86</v>
      </c>
      <c r="J250" s="10">
        <f>SIM用基本データ!J169</f>
        <v>168.74667952133996</v>
      </c>
      <c r="K250" s="10">
        <f>SIM用基本データ!K169</f>
        <v>36.126431264464955</v>
      </c>
      <c r="L250" s="10">
        <f>SIM用基本データ!L169</f>
        <v>143.31636457587965</v>
      </c>
      <c r="M250" s="10">
        <f>SIM用基本データ!M169</f>
        <v>29.811387709246674</v>
      </c>
      <c r="N250" s="10">
        <f>SIM用基本データ!N169</f>
        <v>7.8060282293437417</v>
      </c>
      <c r="O250" s="10">
        <f>SIM用基本データ!O169</f>
        <v>0</v>
      </c>
      <c r="P250" s="10">
        <f>SIM用基本データ!P169</f>
        <v>21.102335725627455</v>
      </c>
    </row>
    <row r="251" spans="1:23" hidden="1" x14ac:dyDescent="0.55000000000000004">
      <c r="C251" s="1" t="s">
        <v>516</v>
      </c>
      <c r="F251" s="10">
        <f>F190</f>
        <v>0</v>
      </c>
      <c r="G251" s="10">
        <f>G190</f>
        <v>0</v>
      </c>
      <c r="H251" s="10">
        <f>IF(B154=1,H190,0)</f>
        <v>0.87906607436025475</v>
      </c>
      <c r="I251" s="10">
        <f>I190</f>
        <v>0</v>
      </c>
      <c r="J251" s="10">
        <f t="shared" ref="J251:P251" si="43">IF($B$154=1,J190,0)</f>
        <v>20.791555772777691</v>
      </c>
      <c r="K251" s="10">
        <f t="shared" si="43"/>
        <v>16.873568735535045</v>
      </c>
      <c r="L251" s="10">
        <f t="shared" si="43"/>
        <v>58.683635424120361</v>
      </c>
      <c r="M251" s="10">
        <f t="shared" si="43"/>
        <v>127.18861229075333</v>
      </c>
      <c r="N251" s="10">
        <f t="shared" si="43"/>
        <v>28.193971770656258</v>
      </c>
      <c r="O251" s="10">
        <f t="shared" si="43"/>
        <v>0</v>
      </c>
      <c r="P251" s="10">
        <f t="shared" si="43"/>
        <v>81.897664274372545</v>
      </c>
      <c r="Q251" s="1">
        <f>IF($B$154=2,J190,0)</f>
        <v>0</v>
      </c>
      <c r="R251" s="1">
        <f>IF($B$154=2,K190,0)</f>
        <v>0</v>
      </c>
      <c r="S251" s="1">
        <f>IF($B$154=2,L190,0)</f>
        <v>0</v>
      </c>
    </row>
    <row r="252" spans="1:23" hidden="1" x14ac:dyDescent="0.55000000000000004">
      <c r="C252" s="1" t="s">
        <v>521</v>
      </c>
      <c r="F252" s="10">
        <f>Q190</f>
        <v>334.50807434257547</v>
      </c>
      <c r="G252" s="10"/>
      <c r="H252" s="10"/>
      <c r="I252" s="10"/>
      <c r="J252" s="10"/>
      <c r="K252" s="10"/>
      <c r="L252" s="10"/>
      <c r="M252" s="10"/>
      <c r="N252" s="10"/>
      <c r="O252" s="10"/>
      <c r="P252" s="10"/>
    </row>
    <row r="253" spans="1:23" hidden="1" x14ac:dyDescent="0.55000000000000004">
      <c r="C253" s="1" t="s">
        <v>476</v>
      </c>
      <c r="F253" s="1">
        <f>SIM用基本データ!E162</f>
        <v>136.05882352941177</v>
      </c>
      <c r="G253" s="14"/>
      <c r="P253" s="12"/>
    </row>
    <row r="254" spans="1:23" hidden="1" x14ac:dyDescent="0.55000000000000004">
      <c r="C254" s="1" t="s">
        <v>132</v>
      </c>
      <c r="F254" s="1">
        <f>F222</f>
        <v>-78.419117647058826</v>
      </c>
      <c r="G254" s="1">
        <f t="shared" ref="G254:J254" si="44">G222</f>
        <v>0</v>
      </c>
      <c r="H254" s="1">
        <f t="shared" si="44"/>
        <v>21.957352941176474</v>
      </c>
      <c r="I254" s="1">
        <f t="shared" si="44"/>
        <v>0</v>
      </c>
      <c r="J254" s="1">
        <f t="shared" si="44"/>
        <v>56.461764705882352</v>
      </c>
      <c r="P254" s="12"/>
    </row>
    <row r="255" spans="1:23" hidden="1" x14ac:dyDescent="0.55000000000000004">
      <c r="C255" s="1" t="s">
        <v>502</v>
      </c>
      <c r="F255" s="1">
        <f>F250-F252-F253+F254+F251</f>
        <v>363.00000000000023</v>
      </c>
      <c r="G255" s="1">
        <f t="shared" ref="G255:P255" si="45">G250-G252-G253+G254+G251</f>
        <v>1031</v>
      </c>
      <c r="H255" s="1">
        <f t="shared" si="45"/>
        <v>514.99999999999989</v>
      </c>
      <c r="I255" s="1">
        <f t="shared" si="45"/>
        <v>86</v>
      </c>
      <c r="J255" s="1">
        <f t="shared" si="45"/>
        <v>246</v>
      </c>
      <c r="K255" s="1">
        <f t="shared" si="45"/>
        <v>53</v>
      </c>
      <c r="L255" s="1">
        <f t="shared" si="45"/>
        <v>202</v>
      </c>
      <c r="M255" s="1">
        <f t="shared" si="45"/>
        <v>157</v>
      </c>
      <c r="N255" s="1">
        <f t="shared" si="45"/>
        <v>36</v>
      </c>
      <c r="O255" s="1">
        <f t="shared" si="45"/>
        <v>0</v>
      </c>
      <c r="P255" s="1">
        <f t="shared" si="45"/>
        <v>103</v>
      </c>
      <c r="Q255" s="1">
        <f t="shared" ref="Q255" si="46">Q250-Q252-Q253+Q254+Q251</f>
        <v>0</v>
      </c>
      <c r="R255" s="1">
        <f t="shared" ref="R255" si="47">R250-R252-R253+R254+R251</f>
        <v>0</v>
      </c>
      <c r="S255" s="1">
        <f t="shared" ref="S255" si="48">S250-S252-S253+S254+S251</f>
        <v>0</v>
      </c>
      <c r="T255" s="1">
        <f t="shared" ref="T255" si="49">T250-T252-T253+T254+T251</f>
        <v>0</v>
      </c>
      <c r="U255" s="1">
        <f t="shared" ref="U255" si="50">U250-U252-U253+U254+U251</f>
        <v>0</v>
      </c>
      <c r="V255" s="1">
        <f t="shared" ref="V255" si="51">V250-V252-V253+V254+V251</f>
        <v>0</v>
      </c>
      <c r="W255" s="1">
        <f>SUM(F255:V255)</f>
        <v>2792</v>
      </c>
    </row>
    <row r="256" spans="1:23" hidden="1" x14ac:dyDescent="0.55000000000000004">
      <c r="C256" s="1" t="s">
        <v>522</v>
      </c>
      <c r="F256" s="1">
        <f>F249*F255</f>
        <v>48787.200000000033</v>
      </c>
      <c r="G256" s="1">
        <f t="shared" ref="G256:V256" si="52">G249*G255</f>
        <v>95986.099999999991</v>
      </c>
      <c r="H256" s="1">
        <f t="shared" si="52"/>
        <v>46349.999999999993</v>
      </c>
      <c r="I256" s="1">
        <f t="shared" si="52"/>
        <v>6940.2</v>
      </c>
      <c r="J256" s="1">
        <f t="shared" si="52"/>
        <v>19852.2</v>
      </c>
      <c r="K256" s="1">
        <f t="shared" si="52"/>
        <v>3964.3999999999996</v>
      </c>
      <c r="L256" s="1">
        <f t="shared" si="52"/>
        <v>14503.599999999999</v>
      </c>
      <c r="M256" s="1">
        <f t="shared" si="52"/>
        <v>10801.6</v>
      </c>
      <c r="N256" s="1">
        <f t="shared" si="52"/>
        <v>2368.7999999999997</v>
      </c>
      <c r="O256" s="1">
        <f t="shared" si="52"/>
        <v>0</v>
      </c>
      <c r="P256" s="1">
        <f t="shared" si="52"/>
        <v>6169.7</v>
      </c>
      <c r="Q256" s="1">
        <f t="shared" si="52"/>
        <v>0</v>
      </c>
      <c r="R256" s="1">
        <f t="shared" si="52"/>
        <v>0</v>
      </c>
      <c r="S256" s="1">
        <f t="shared" si="52"/>
        <v>0</v>
      </c>
      <c r="T256" s="1">
        <f t="shared" si="52"/>
        <v>0</v>
      </c>
      <c r="U256" s="1">
        <f t="shared" si="52"/>
        <v>0</v>
      </c>
      <c r="V256" s="1">
        <f t="shared" si="52"/>
        <v>0</v>
      </c>
      <c r="W256" s="1">
        <f>SUM(F256:V256)</f>
        <v>255723.80000000005</v>
      </c>
    </row>
    <row r="257" spans="1:12" hidden="1" x14ac:dyDescent="0.55000000000000004"/>
    <row r="258" spans="1:12" hidden="1" x14ac:dyDescent="0.55000000000000004">
      <c r="A258" s="8" t="s">
        <v>584</v>
      </c>
    </row>
    <row r="259" spans="1:12" hidden="1" x14ac:dyDescent="0.55000000000000004">
      <c r="A259" s="13" t="s">
        <v>643</v>
      </c>
    </row>
    <row r="260" spans="1:12" hidden="1" x14ac:dyDescent="0.55000000000000004">
      <c r="A260" s="8"/>
      <c r="B260" s="1" t="s">
        <v>616</v>
      </c>
      <c r="C260" s="1">
        <v>0.4</v>
      </c>
    </row>
    <row r="261" spans="1:12" hidden="1" x14ac:dyDescent="0.55000000000000004">
      <c r="A261" s="8"/>
      <c r="B261" s="1" t="s">
        <v>617</v>
      </c>
      <c r="C261" s="1">
        <v>0.7</v>
      </c>
      <c r="D261" s="1">
        <v>0.55000000000000004</v>
      </c>
    </row>
    <row r="262" spans="1:12" hidden="1" x14ac:dyDescent="0.55000000000000004">
      <c r="A262" s="8"/>
      <c r="B262" s="1" t="s">
        <v>626</v>
      </c>
      <c r="C262" s="1">
        <v>80653</v>
      </c>
      <c r="D262" s="1">
        <f>C262-I264</f>
        <v>59412</v>
      </c>
    </row>
    <row r="263" spans="1:12" hidden="1" x14ac:dyDescent="0.55000000000000004">
      <c r="D263" s="1" t="s">
        <v>610</v>
      </c>
      <c r="E263" s="1" t="s">
        <v>611</v>
      </c>
      <c r="F263" s="1" t="s">
        <v>612</v>
      </c>
      <c r="G263" s="1" t="s">
        <v>613</v>
      </c>
      <c r="H263" s="1" t="s">
        <v>615</v>
      </c>
      <c r="I263" s="1" t="s">
        <v>614</v>
      </c>
      <c r="J263" s="1" t="s">
        <v>624</v>
      </c>
      <c r="K263" s="1" t="s">
        <v>625</v>
      </c>
      <c r="L263" s="1" t="s">
        <v>623</v>
      </c>
    </row>
    <row r="264" spans="1:12" hidden="1" x14ac:dyDescent="0.55000000000000004">
      <c r="C264" s="138" t="s">
        <v>604</v>
      </c>
      <c r="D264" s="1">
        <f>SIM用基本データ!J111</f>
        <v>4834</v>
      </c>
      <c r="E264" s="1">
        <f>SIM用基本データ!K115</f>
        <v>28238</v>
      </c>
      <c r="F264" s="1">
        <f>SIM用基本データ!L115</f>
        <v>12448</v>
      </c>
      <c r="G264" s="1">
        <f>SIM用基本データ!N117</f>
        <v>11346</v>
      </c>
      <c r="H264" s="1">
        <f>SIM用基本データ!P116</f>
        <v>4773</v>
      </c>
      <c r="I264" s="1">
        <f>SIM用基本データ!Q115</f>
        <v>21241</v>
      </c>
    </row>
    <row r="265" spans="1:12" hidden="1" x14ac:dyDescent="0.55000000000000004">
      <c r="C265" s="138"/>
      <c r="D265" s="1">
        <f>D264*$C$261</f>
        <v>3383.7999999999997</v>
      </c>
      <c r="E265" s="1">
        <f>E264*$C$260</f>
        <v>11295.2</v>
      </c>
      <c r="F265" s="1">
        <f>F264*$C$260</f>
        <v>4979.2000000000007</v>
      </c>
      <c r="G265" s="1">
        <f t="shared" ref="G265:I265" si="53">G264*$C$261</f>
        <v>7942.2</v>
      </c>
      <c r="H265" s="1">
        <f t="shared" si="53"/>
        <v>3341.1</v>
      </c>
      <c r="I265" s="1">
        <f t="shared" si="53"/>
        <v>14868.699999999999</v>
      </c>
      <c r="J265" s="1">
        <f>SUM(D265:I265)</f>
        <v>45810.2</v>
      </c>
      <c r="K265" s="1">
        <f>J265-I265</f>
        <v>30941.5</v>
      </c>
      <c r="L265" s="1">
        <f>K265/$D$262</f>
        <v>0.52079546219618933</v>
      </c>
    </row>
    <row r="266" spans="1:12" hidden="1" x14ac:dyDescent="0.55000000000000004">
      <c r="C266" s="138" t="s">
        <v>605</v>
      </c>
      <c r="D266" s="1">
        <f>D264</f>
        <v>4834</v>
      </c>
      <c r="E266" s="1">
        <f>SIM用基本データ!K125</f>
        <v>25227</v>
      </c>
      <c r="F266" s="1">
        <f>SIM用基本データ!L125</f>
        <v>12531</v>
      </c>
      <c r="G266" s="1">
        <f t="shared" ref="G266:I266" si="54">G264</f>
        <v>11346</v>
      </c>
      <c r="H266" s="1">
        <f t="shared" si="54"/>
        <v>4773</v>
      </c>
      <c r="I266" s="1">
        <f t="shared" si="54"/>
        <v>21241</v>
      </c>
    </row>
    <row r="267" spans="1:12" hidden="1" x14ac:dyDescent="0.55000000000000004">
      <c r="C267" s="138"/>
      <c r="D267" s="1">
        <f>D266*$C$261</f>
        <v>3383.7999999999997</v>
      </c>
      <c r="E267" s="1">
        <f>E266*$C$260</f>
        <v>10090.800000000001</v>
      </c>
      <c r="F267" s="1">
        <f>F266*$C$260</f>
        <v>5012.4000000000005</v>
      </c>
      <c r="G267" s="1">
        <f t="shared" ref="G267" si="55">G266*$C$261</f>
        <v>7942.2</v>
      </c>
      <c r="H267" s="1">
        <f t="shared" ref="H267" si="56">H266*$C$261</f>
        <v>3341.1</v>
      </c>
      <c r="I267" s="1">
        <f t="shared" ref="I267" si="57">I266*$C$261</f>
        <v>14868.699999999999</v>
      </c>
      <c r="J267" s="1">
        <f>SUM(D267:I267)</f>
        <v>44639</v>
      </c>
      <c r="K267" s="1">
        <f>J267-I267</f>
        <v>29770.300000000003</v>
      </c>
      <c r="L267" s="1">
        <f>K267/$D$262</f>
        <v>0.50108227294149332</v>
      </c>
    </row>
    <row r="268" spans="1:12" hidden="1" x14ac:dyDescent="0.55000000000000004">
      <c r="C268" s="125"/>
      <c r="D268" s="1">
        <v>924</v>
      </c>
      <c r="E268" s="25">
        <v>9799</v>
      </c>
      <c r="F268" s="1">
        <v>3890</v>
      </c>
      <c r="G268" s="1">
        <v>11346</v>
      </c>
      <c r="H268" s="1">
        <v>4773</v>
      </c>
      <c r="I268" s="1">
        <v>21241</v>
      </c>
      <c r="J268" s="1">
        <f>SUM(D268:I268)</f>
        <v>51973</v>
      </c>
      <c r="K268" s="1">
        <f>J268-I268</f>
        <v>30732</v>
      </c>
      <c r="L268" s="1">
        <f>K268/$D$262</f>
        <v>0.51726923853766915</v>
      </c>
    </row>
    <row r="269" spans="1:12" hidden="1" x14ac:dyDescent="0.55000000000000004">
      <c r="C269" s="125"/>
    </row>
    <row r="270" spans="1:12" hidden="1" x14ac:dyDescent="0.55000000000000004">
      <c r="C270" s="138" t="s">
        <v>607</v>
      </c>
      <c r="D270" s="1">
        <f>D266</f>
        <v>4834</v>
      </c>
      <c r="E270" s="1">
        <v>18781</v>
      </c>
      <c r="F270" s="1">
        <v>12606</v>
      </c>
      <c r="G270" s="1">
        <f t="shared" ref="G270:I270" si="58">G266</f>
        <v>11346</v>
      </c>
      <c r="H270" s="1">
        <f t="shared" si="58"/>
        <v>4773</v>
      </c>
      <c r="I270" s="1">
        <f t="shared" si="58"/>
        <v>21241</v>
      </c>
    </row>
    <row r="271" spans="1:12" hidden="1" x14ac:dyDescent="0.55000000000000004">
      <c r="C271" s="138"/>
      <c r="D271" s="1">
        <f>D270*$D$261</f>
        <v>2658.7000000000003</v>
      </c>
      <c r="E271" s="1">
        <f>E270*$C$260</f>
        <v>7512.4000000000005</v>
      </c>
      <c r="F271" s="1">
        <f>F270*$C$260</f>
        <v>5042.4000000000005</v>
      </c>
      <c r="G271" s="1">
        <f t="shared" ref="G271:I271" si="59">G270*$D$261</f>
        <v>6240.3</v>
      </c>
      <c r="H271" s="1">
        <f t="shared" si="59"/>
        <v>2625.15</v>
      </c>
      <c r="I271" s="1">
        <f t="shared" si="59"/>
        <v>11682.550000000001</v>
      </c>
      <c r="J271" s="1">
        <f>SUM(D271:I271)</f>
        <v>35761.5</v>
      </c>
      <c r="K271" s="1">
        <f>J271-I271</f>
        <v>24078.949999999997</v>
      </c>
      <c r="L271" s="1">
        <f>K271/$D$262</f>
        <v>0.40528765232612934</v>
      </c>
    </row>
    <row r="272" spans="1:12" hidden="1" x14ac:dyDescent="0.55000000000000004"/>
    <row r="273" spans="1:9" hidden="1" x14ac:dyDescent="0.55000000000000004">
      <c r="A273" s="4" t="s">
        <v>644</v>
      </c>
    </row>
    <row r="274" spans="1:9" hidden="1" x14ac:dyDescent="0.55000000000000004">
      <c r="D274" s="1" t="s">
        <v>646</v>
      </c>
    </row>
    <row r="275" spans="1:9" hidden="1" x14ac:dyDescent="0.55000000000000004">
      <c r="D275" s="1" t="s">
        <v>36</v>
      </c>
      <c r="E275" s="1">
        <v>65</v>
      </c>
      <c r="F275" s="1" t="s">
        <v>148</v>
      </c>
      <c r="G275" s="1" t="s">
        <v>647</v>
      </c>
    </row>
    <row r="276" spans="1:9" hidden="1" x14ac:dyDescent="0.55000000000000004">
      <c r="D276" s="1" t="s">
        <v>36</v>
      </c>
      <c r="E276" s="1">
        <v>74</v>
      </c>
      <c r="F276" s="1" t="s">
        <v>148</v>
      </c>
      <c r="G276" s="1" t="s">
        <v>648</v>
      </c>
    </row>
    <row r="277" spans="1:9" hidden="1" x14ac:dyDescent="0.55000000000000004">
      <c r="D277" s="1" t="s">
        <v>649</v>
      </c>
      <c r="E277" s="1">
        <v>46</v>
      </c>
      <c r="F277" s="1" t="s">
        <v>409</v>
      </c>
      <c r="G277" s="1" t="s">
        <v>647</v>
      </c>
    </row>
    <row r="278" spans="1:9" hidden="1" x14ac:dyDescent="0.55000000000000004">
      <c r="E278" s="1">
        <f>E277/E275</f>
        <v>0.70769230769230773</v>
      </c>
      <c r="F278" s="1" t="s">
        <v>409</v>
      </c>
      <c r="G278" s="1" t="s">
        <v>650</v>
      </c>
    </row>
    <row r="279" spans="1:9" hidden="1" x14ac:dyDescent="0.55000000000000004">
      <c r="E279" s="1">
        <f>E276*E278</f>
        <v>52.369230769230775</v>
      </c>
      <c r="F279" s="1" t="s">
        <v>409</v>
      </c>
      <c r="G279" s="1" t="s">
        <v>651</v>
      </c>
    </row>
    <row r="280" spans="1:9" hidden="1" x14ac:dyDescent="0.55000000000000004">
      <c r="D280" s="1" t="s">
        <v>26</v>
      </c>
      <c r="E280" s="1">
        <f>E279*20</f>
        <v>1047.3846153846155</v>
      </c>
      <c r="F280" s="1" t="s">
        <v>409</v>
      </c>
      <c r="G280" s="1" t="s">
        <v>22</v>
      </c>
      <c r="H280" s="1" t="s">
        <v>660</v>
      </c>
      <c r="I280" s="9">
        <v>0.49</v>
      </c>
    </row>
    <row r="281" spans="1:9" hidden="1" x14ac:dyDescent="0.55000000000000004">
      <c r="H281" s="1" t="s">
        <v>22</v>
      </c>
      <c r="I281" s="1">
        <f>E280*I280</f>
        <v>513.21846153846161</v>
      </c>
    </row>
    <row r="282" spans="1:9" hidden="1" x14ac:dyDescent="0.55000000000000004">
      <c r="H282" s="1" t="s">
        <v>714</v>
      </c>
      <c r="I282" s="1">
        <f>E280-I281</f>
        <v>534.16615384615386</v>
      </c>
    </row>
    <row r="283" spans="1:9" hidden="1" x14ac:dyDescent="0.55000000000000004">
      <c r="B283" s="1" t="s">
        <v>645</v>
      </c>
      <c r="D283" s="1">
        <f>SIM用基本データ!Q64+SIM用基本データ!Q73</f>
        <v>5322</v>
      </c>
      <c r="E283" s="1" t="s">
        <v>409</v>
      </c>
    </row>
    <row r="284" spans="1:9" hidden="1" x14ac:dyDescent="0.55000000000000004">
      <c r="B284" s="1" t="s">
        <v>702</v>
      </c>
      <c r="D284" s="1">
        <v>4664</v>
      </c>
      <c r="E284" s="1" t="s">
        <v>409</v>
      </c>
      <c r="F284" s="1" t="s">
        <v>652</v>
      </c>
    </row>
    <row r="285" spans="1:9" hidden="1" x14ac:dyDescent="0.55000000000000004">
      <c r="C285" s="1" t="s">
        <v>653</v>
      </c>
      <c r="D285" s="1">
        <f>D283-D284</f>
        <v>658</v>
      </c>
      <c r="E285" s="1" t="s">
        <v>409</v>
      </c>
    </row>
    <row r="286" spans="1:9" hidden="1" x14ac:dyDescent="0.55000000000000004">
      <c r="C286" s="1" t="s">
        <v>654</v>
      </c>
      <c r="D286" s="9">
        <v>0.7</v>
      </c>
    </row>
    <row r="287" spans="1:9" hidden="1" x14ac:dyDescent="0.55000000000000004">
      <c r="B287" s="1" t="s">
        <v>653</v>
      </c>
      <c r="C287" s="1" t="s">
        <v>655</v>
      </c>
      <c r="D287" s="1">
        <f>D285*D286</f>
        <v>460.59999999999997</v>
      </c>
      <c r="E287" s="1" t="s">
        <v>409</v>
      </c>
    </row>
    <row r="288" spans="1:9" hidden="1" x14ac:dyDescent="0.55000000000000004">
      <c r="B288" s="1" t="s">
        <v>653</v>
      </c>
      <c r="C288" s="1" t="s">
        <v>656</v>
      </c>
      <c r="D288" s="1">
        <f>D285-D287</f>
        <v>197.40000000000003</v>
      </c>
      <c r="E288" s="1" t="s">
        <v>409</v>
      </c>
    </row>
    <row r="289" spans="2:21" hidden="1" x14ac:dyDescent="0.55000000000000004"/>
    <row r="290" spans="2:21" hidden="1" x14ac:dyDescent="0.55000000000000004">
      <c r="B290" s="1" t="s">
        <v>657</v>
      </c>
    </row>
    <row r="291" spans="2:21" hidden="1" x14ac:dyDescent="0.55000000000000004">
      <c r="C291" s="1" t="s">
        <v>618</v>
      </c>
      <c r="D291" s="1" t="s">
        <v>641</v>
      </c>
      <c r="E291" s="1" t="s">
        <v>642</v>
      </c>
    </row>
    <row r="292" spans="2:21" hidden="1" x14ac:dyDescent="0.55000000000000004">
      <c r="C292" s="1">
        <v>59.9</v>
      </c>
      <c r="D292" s="1">
        <v>45</v>
      </c>
      <c r="E292" s="1">
        <v>36</v>
      </c>
      <c r="F292" s="1" t="s">
        <v>658</v>
      </c>
    </row>
    <row r="293" spans="2:21" hidden="1" x14ac:dyDescent="0.55000000000000004"/>
    <row r="294" spans="2:21" hidden="1" x14ac:dyDescent="0.55000000000000004"/>
    <row r="295" spans="2:21" hidden="1" x14ac:dyDescent="0.55000000000000004">
      <c r="D295" s="1" t="s">
        <v>41</v>
      </c>
      <c r="E295" s="1" t="s">
        <v>27</v>
      </c>
      <c r="F295" s="1" t="s">
        <v>28</v>
      </c>
      <c r="G295" s="1" t="s">
        <v>29</v>
      </c>
      <c r="H295" s="1" t="s">
        <v>30</v>
      </c>
      <c r="I295" s="1" t="s">
        <v>39</v>
      </c>
      <c r="J295" s="1" t="s">
        <v>31</v>
      </c>
      <c r="K295" s="1" t="s">
        <v>32</v>
      </c>
      <c r="L295" s="1" t="s">
        <v>33</v>
      </c>
      <c r="M295" s="1" t="s">
        <v>43</v>
      </c>
      <c r="N295" s="1" t="s">
        <v>34</v>
      </c>
      <c r="O295" s="1" t="s">
        <v>307</v>
      </c>
      <c r="P295" s="1" t="s">
        <v>308</v>
      </c>
      <c r="Q295" s="1" t="s">
        <v>309</v>
      </c>
      <c r="R295" s="1" t="s">
        <v>34</v>
      </c>
      <c r="S295" s="1" t="s">
        <v>618</v>
      </c>
      <c r="T295" s="1" t="s">
        <v>641</v>
      </c>
    </row>
    <row r="296" spans="2:21" hidden="1" x14ac:dyDescent="0.55000000000000004">
      <c r="D296" s="1">
        <v>134.4</v>
      </c>
      <c r="E296" s="1">
        <v>93.1</v>
      </c>
      <c r="F296" s="1">
        <v>90</v>
      </c>
      <c r="G296" s="1">
        <v>80.7</v>
      </c>
      <c r="H296" s="1">
        <v>80.7</v>
      </c>
      <c r="I296" s="1">
        <v>74.8</v>
      </c>
      <c r="J296" s="1">
        <v>71.8</v>
      </c>
      <c r="K296" s="1">
        <v>68.8</v>
      </c>
      <c r="L296" s="1">
        <v>65.8</v>
      </c>
      <c r="M296" s="1">
        <v>0</v>
      </c>
      <c r="N296" s="1">
        <v>59.9</v>
      </c>
      <c r="O296" s="1">
        <f>Q249</f>
        <v>80.7</v>
      </c>
      <c r="P296" s="1">
        <f t="shared" ref="P296:Q296" si="60">R249</f>
        <v>74.8</v>
      </c>
      <c r="Q296" s="1">
        <f t="shared" si="60"/>
        <v>71.8</v>
      </c>
      <c r="R296" s="1">
        <f>C292</f>
        <v>59.9</v>
      </c>
      <c r="S296" s="1">
        <f t="shared" ref="S296:T296" si="61">D292</f>
        <v>45</v>
      </c>
      <c r="T296" s="1">
        <f t="shared" si="61"/>
        <v>36</v>
      </c>
    </row>
    <row r="297" spans="2:21" hidden="1" x14ac:dyDescent="0.55000000000000004">
      <c r="B297" s="1" t="s">
        <v>645</v>
      </c>
      <c r="D297" s="1">
        <f t="shared" ref="D297:Q297" si="62">F255</f>
        <v>363.00000000000023</v>
      </c>
      <c r="E297" s="1">
        <f t="shared" si="62"/>
        <v>1031</v>
      </c>
      <c r="F297" s="1">
        <f t="shared" si="62"/>
        <v>514.99999999999989</v>
      </c>
      <c r="G297" s="1">
        <f t="shared" si="62"/>
        <v>86</v>
      </c>
      <c r="H297" s="1">
        <f t="shared" si="62"/>
        <v>246</v>
      </c>
      <c r="I297" s="1">
        <f t="shared" si="62"/>
        <v>53</v>
      </c>
      <c r="J297" s="1">
        <f t="shared" si="62"/>
        <v>202</v>
      </c>
      <c r="K297" s="1">
        <f t="shared" si="62"/>
        <v>157</v>
      </c>
      <c r="L297" s="1">
        <f t="shared" si="62"/>
        <v>36</v>
      </c>
      <c r="M297" s="1">
        <f t="shared" si="62"/>
        <v>0</v>
      </c>
      <c r="N297" s="1">
        <f t="shared" si="62"/>
        <v>103</v>
      </c>
      <c r="O297" s="1">
        <f t="shared" si="62"/>
        <v>0</v>
      </c>
      <c r="P297" s="1">
        <f t="shared" si="62"/>
        <v>0</v>
      </c>
      <c r="Q297" s="1">
        <f t="shared" si="62"/>
        <v>0</v>
      </c>
      <c r="U297" s="1">
        <f>SUM(D297:T297)</f>
        <v>2792</v>
      </c>
    </row>
    <row r="298" spans="2:21" hidden="1" x14ac:dyDescent="0.55000000000000004">
      <c r="B298" s="1" t="s">
        <v>653</v>
      </c>
      <c r="D298" s="1">
        <f>D287</f>
        <v>460.59999999999997</v>
      </c>
    </row>
    <row r="299" spans="2:21" hidden="1" x14ac:dyDescent="0.55000000000000004">
      <c r="C299" s="1" t="s">
        <v>662</v>
      </c>
      <c r="D299" s="1">
        <f>D297</f>
        <v>363.00000000000023</v>
      </c>
    </row>
    <row r="300" spans="2:21" hidden="1" x14ac:dyDescent="0.55000000000000004">
      <c r="C300" s="1" t="s">
        <v>663</v>
      </c>
      <c r="D300" s="1">
        <f>D298-D299</f>
        <v>97.599999999999739</v>
      </c>
    </row>
    <row r="301" spans="2:21" hidden="1" x14ac:dyDescent="0.55000000000000004">
      <c r="C301" s="1" t="s">
        <v>662</v>
      </c>
      <c r="D301" s="1">
        <f>D299</f>
        <v>363.00000000000023</v>
      </c>
      <c r="E301" s="1">
        <f>D300</f>
        <v>97.599999999999739</v>
      </c>
    </row>
    <row r="302" spans="2:21" hidden="1" x14ac:dyDescent="0.55000000000000004">
      <c r="C302" s="1" t="s">
        <v>664</v>
      </c>
      <c r="D302" s="1">
        <f>D297-D301</f>
        <v>0</v>
      </c>
      <c r="E302" s="1">
        <f t="shared" ref="E302:T302" si="63">E297-E301</f>
        <v>933.40000000000032</v>
      </c>
      <c r="F302" s="1">
        <f t="shared" si="63"/>
        <v>514.99999999999989</v>
      </c>
      <c r="G302" s="1">
        <f t="shared" si="63"/>
        <v>86</v>
      </c>
      <c r="H302" s="1">
        <f t="shared" si="63"/>
        <v>246</v>
      </c>
      <c r="I302" s="1">
        <f t="shared" si="63"/>
        <v>53</v>
      </c>
      <c r="J302" s="1">
        <f t="shared" si="63"/>
        <v>202</v>
      </c>
      <c r="K302" s="1">
        <f t="shared" si="63"/>
        <v>157</v>
      </c>
      <c r="L302" s="1">
        <f t="shared" si="63"/>
        <v>36</v>
      </c>
      <c r="M302" s="1">
        <f t="shared" si="63"/>
        <v>0</v>
      </c>
      <c r="N302" s="1">
        <f t="shared" si="63"/>
        <v>103</v>
      </c>
      <c r="O302" s="1">
        <f t="shared" si="63"/>
        <v>0</v>
      </c>
      <c r="P302" s="1">
        <f t="shared" si="63"/>
        <v>0</v>
      </c>
      <c r="Q302" s="1">
        <f t="shared" si="63"/>
        <v>0</v>
      </c>
      <c r="R302" s="1">
        <f t="shared" si="63"/>
        <v>0</v>
      </c>
      <c r="S302" s="1">
        <f t="shared" si="63"/>
        <v>0</v>
      </c>
      <c r="T302" s="1">
        <f t="shared" si="63"/>
        <v>0</v>
      </c>
    </row>
    <row r="303" spans="2:21" hidden="1" x14ac:dyDescent="0.55000000000000004">
      <c r="B303" s="1" t="s">
        <v>659</v>
      </c>
      <c r="D303" s="1">
        <f>I281</f>
        <v>513.21846153846161</v>
      </c>
    </row>
    <row r="304" spans="2:21" hidden="1" x14ac:dyDescent="0.55000000000000004">
      <c r="C304" s="1" t="s">
        <v>662</v>
      </c>
      <c r="E304" s="1">
        <f>D303</f>
        <v>513.21846153846161</v>
      </c>
    </row>
    <row r="305" spans="2:21" hidden="1" x14ac:dyDescent="0.55000000000000004">
      <c r="C305" s="1" t="s">
        <v>664</v>
      </c>
      <c r="D305" s="1">
        <f>D302-D304</f>
        <v>0</v>
      </c>
      <c r="E305" s="1">
        <f t="shared" ref="E305:T305" si="64">E302-E304</f>
        <v>420.18153846153871</v>
      </c>
      <c r="F305" s="1">
        <f t="shared" si="64"/>
        <v>514.99999999999989</v>
      </c>
      <c r="G305" s="1">
        <f t="shared" si="64"/>
        <v>86</v>
      </c>
      <c r="H305" s="1">
        <f t="shared" si="64"/>
        <v>246</v>
      </c>
      <c r="I305" s="1">
        <f t="shared" si="64"/>
        <v>53</v>
      </c>
      <c r="J305" s="1">
        <f t="shared" si="64"/>
        <v>202</v>
      </c>
      <c r="K305" s="1">
        <f t="shared" si="64"/>
        <v>157</v>
      </c>
      <c r="L305" s="1">
        <f t="shared" si="64"/>
        <v>36</v>
      </c>
      <c r="M305" s="1">
        <f t="shared" si="64"/>
        <v>0</v>
      </c>
      <c r="N305" s="1">
        <f t="shared" si="64"/>
        <v>103</v>
      </c>
      <c r="O305" s="1">
        <f t="shared" si="64"/>
        <v>0</v>
      </c>
      <c r="P305" s="1">
        <f t="shared" si="64"/>
        <v>0</v>
      </c>
      <c r="Q305" s="1">
        <f t="shared" si="64"/>
        <v>0</v>
      </c>
      <c r="R305" s="1">
        <f t="shared" si="64"/>
        <v>0</v>
      </c>
      <c r="S305" s="1">
        <f t="shared" si="64"/>
        <v>0</v>
      </c>
      <c r="T305" s="1">
        <f t="shared" si="64"/>
        <v>0</v>
      </c>
    </row>
    <row r="306" spans="2:21" hidden="1" x14ac:dyDescent="0.55000000000000004">
      <c r="C306" s="1" t="s">
        <v>660</v>
      </c>
      <c r="R306" s="1">
        <f>B129/100</f>
        <v>1</v>
      </c>
      <c r="S306" s="1">
        <f>C129/100</f>
        <v>0</v>
      </c>
      <c r="T306" s="1">
        <f>D129/100</f>
        <v>0</v>
      </c>
    </row>
    <row r="307" spans="2:21" hidden="1" x14ac:dyDescent="0.55000000000000004">
      <c r="C307" s="1" t="s">
        <v>661</v>
      </c>
      <c r="R307" s="1">
        <f>$D$303*R306</f>
        <v>513.21846153846161</v>
      </c>
      <c r="S307" s="1">
        <f t="shared" ref="S307:T307" si="65">$D$303*S306</f>
        <v>0</v>
      </c>
      <c r="T307" s="1">
        <f t="shared" si="65"/>
        <v>0</v>
      </c>
    </row>
    <row r="308" spans="2:21" hidden="1" x14ac:dyDescent="0.55000000000000004">
      <c r="B308" s="1" t="s">
        <v>665</v>
      </c>
      <c r="D308" s="1">
        <f>D305+D307</f>
        <v>0</v>
      </c>
      <c r="E308" s="1">
        <f t="shared" ref="E308:T308" si="66">E305+E307</f>
        <v>420.18153846153871</v>
      </c>
      <c r="F308" s="1">
        <f t="shared" si="66"/>
        <v>514.99999999999989</v>
      </c>
      <c r="G308" s="1">
        <f t="shared" si="66"/>
        <v>86</v>
      </c>
      <c r="H308" s="1">
        <f t="shared" si="66"/>
        <v>246</v>
      </c>
      <c r="I308" s="1">
        <f t="shared" si="66"/>
        <v>53</v>
      </c>
      <c r="J308" s="1">
        <f t="shared" si="66"/>
        <v>202</v>
      </c>
      <c r="K308" s="1">
        <f t="shared" si="66"/>
        <v>157</v>
      </c>
      <c r="L308" s="1">
        <f t="shared" si="66"/>
        <v>36</v>
      </c>
      <c r="M308" s="1">
        <f t="shared" si="66"/>
        <v>0</v>
      </c>
      <c r="N308" s="1">
        <f t="shared" si="66"/>
        <v>103</v>
      </c>
      <c r="O308" s="1">
        <f t="shared" si="66"/>
        <v>0</v>
      </c>
      <c r="P308" s="1">
        <f t="shared" si="66"/>
        <v>0</v>
      </c>
      <c r="Q308" s="1">
        <f t="shared" si="66"/>
        <v>0</v>
      </c>
      <c r="R308" s="1">
        <f t="shared" si="66"/>
        <v>513.21846153846161</v>
      </c>
      <c r="S308" s="1">
        <f t="shared" si="66"/>
        <v>0</v>
      </c>
      <c r="T308" s="1">
        <f t="shared" si="66"/>
        <v>0</v>
      </c>
      <c r="U308" s="1">
        <f>SUM(D308:T308)</f>
        <v>2331.4</v>
      </c>
    </row>
    <row r="309" spans="2:21" hidden="1" x14ac:dyDescent="0.55000000000000004">
      <c r="B309" s="1" t="s">
        <v>666</v>
      </c>
      <c r="D309" s="1">
        <f>D308</f>
        <v>0</v>
      </c>
      <c r="E309" s="1">
        <f t="shared" ref="E309:M310" si="67">E308</f>
        <v>420.18153846153871</v>
      </c>
      <c r="F309" s="1">
        <f t="shared" si="67"/>
        <v>514.99999999999989</v>
      </c>
      <c r="G309" s="1">
        <f t="shared" si="67"/>
        <v>86</v>
      </c>
      <c r="H309" s="1">
        <f t="shared" si="67"/>
        <v>246</v>
      </c>
      <c r="I309" s="1">
        <f t="shared" si="67"/>
        <v>53</v>
      </c>
      <c r="J309" s="1">
        <f t="shared" si="67"/>
        <v>202</v>
      </c>
      <c r="K309" s="1">
        <f t="shared" si="67"/>
        <v>157</v>
      </c>
      <c r="L309" s="1">
        <f t="shared" si="67"/>
        <v>36</v>
      </c>
      <c r="M309" s="1">
        <f t="shared" si="67"/>
        <v>0</v>
      </c>
      <c r="N309" s="1">
        <f>N308+R308</f>
        <v>616.21846153846161</v>
      </c>
      <c r="O309" s="1">
        <f t="shared" ref="O309:O310" si="68">O308</f>
        <v>0</v>
      </c>
      <c r="P309" s="1">
        <f t="shared" ref="P309:P310" si="69">P308</f>
        <v>0</v>
      </c>
      <c r="Q309" s="1">
        <f t="shared" ref="Q309:Q310" si="70">Q308</f>
        <v>0</v>
      </c>
      <c r="S309" s="1">
        <f t="shared" ref="S309:S310" si="71">S308</f>
        <v>0</v>
      </c>
      <c r="T309" s="1">
        <f t="shared" ref="T309:T310" si="72">T308</f>
        <v>0</v>
      </c>
    </row>
    <row r="310" spans="2:21" hidden="1" x14ac:dyDescent="0.55000000000000004">
      <c r="B310" s="1" t="s">
        <v>679</v>
      </c>
      <c r="D310" s="1">
        <v>0</v>
      </c>
      <c r="E310" s="1">
        <v>0</v>
      </c>
      <c r="F310" s="1">
        <v>0</v>
      </c>
      <c r="G310" s="1">
        <f>IF($B$137="①",G309,0)</f>
        <v>0</v>
      </c>
      <c r="H310" s="1">
        <f>IF($B$137="①",H309,0)</f>
        <v>0</v>
      </c>
      <c r="I310" s="1">
        <f>I309</f>
        <v>53</v>
      </c>
      <c r="J310" s="1">
        <f t="shared" si="67"/>
        <v>202</v>
      </c>
      <c r="K310" s="1">
        <f t="shared" si="67"/>
        <v>157</v>
      </c>
      <c r="L310" s="1">
        <f t="shared" si="67"/>
        <v>36</v>
      </c>
      <c r="M310" s="1">
        <f t="shared" si="67"/>
        <v>0</v>
      </c>
      <c r="N310" s="1">
        <f t="shared" ref="N310" si="73">N309</f>
        <v>616.21846153846161</v>
      </c>
      <c r="O310" s="1">
        <f t="shared" si="68"/>
        <v>0</v>
      </c>
      <c r="P310" s="1">
        <f t="shared" si="69"/>
        <v>0</v>
      </c>
      <c r="Q310" s="1">
        <f t="shared" si="70"/>
        <v>0</v>
      </c>
      <c r="R310" s="1">
        <f t="shared" ref="R310" si="74">R309</f>
        <v>0</v>
      </c>
      <c r="S310" s="1">
        <f t="shared" si="71"/>
        <v>0</v>
      </c>
      <c r="T310" s="1">
        <f t="shared" si="72"/>
        <v>0</v>
      </c>
    </row>
    <row r="311" spans="2:21" hidden="1" x14ac:dyDescent="0.55000000000000004">
      <c r="B311" s="1" t="s">
        <v>681</v>
      </c>
      <c r="H311" s="1">
        <f>IF(B137="①",D309+E309+F309,0)</f>
        <v>0</v>
      </c>
      <c r="I311" s="1">
        <f>IF(B137="②",D309+E309+F309+G309+H309,0)</f>
        <v>1267.1815384615386</v>
      </c>
    </row>
    <row r="312" spans="2:21" hidden="1" x14ac:dyDescent="0.55000000000000004">
      <c r="B312" s="1" t="s">
        <v>680</v>
      </c>
      <c r="D312" s="1">
        <f>D310+D311</f>
        <v>0</v>
      </c>
      <c r="E312" s="1">
        <f t="shared" ref="E312:T312" si="75">E310+E311</f>
        <v>0</v>
      </c>
      <c r="F312" s="1">
        <f t="shared" si="75"/>
        <v>0</v>
      </c>
      <c r="G312" s="1">
        <f t="shared" si="75"/>
        <v>0</v>
      </c>
      <c r="H312" s="1">
        <f t="shared" si="75"/>
        <v>0</v>
      </c>
      <c r="I312" s="1">
        <f t="shared" si="75"/>
        <v>1320.1815384615386</v>
      </c>
      <c r="J312" s="1">
        <f t="shared" si="75"/>
        <v>202</v>
      </c>
      <c r="K312" s="1">
        <f t="shared" si="75"/>
        <v>157</v>
      </c>
      <c r="L312" s="1">
        <f t="shared" si="75"/>
        <v>36</v>
      </c>
      <c r="M312" s="1">
        <f t="shared" si="75"/>
        <v>0</v>
      </c>
      <c r="N312" s="1">
        <f t="shared" si="75"/>
        <v>616.21846153846161</v>
      </c>
      <c r="O312" s="1">
        <f t="shared" si="75"/>
        <v>0</v>
      </c>
      <c r="P312" s="1">
        <f t="shared" si="75"/>
        <v>0</v>
      </c>
      <c r="Q312" s="1">
        <f t="shared" si="75"/>
        <v>0</v>
      </c>
      <c r="R312" s="1">
        <f t="shared" si="75"/>
        <v>0</v>
      </c>
      <c r="S312" s="1">
        <f t="shared" si="75"/>
        <v>0</v>
      </c>
      <c r="T312" s="1">
        <f t="shared" si="75"/>
        <v>0</v>
      </c>
      <c r="U312" s="1">
        <f>SUM(D312:T312)</f>
        <v>2331.4</v>
      </c>
    </row>
    <row r="313" spans="2:21" hidden="1" x14ac:dyDescent="0.55000000000000004">
      <c r="B313" s="1" t="s">
        <v>682</v>
      </c>
      <c r="D313" s="1">
        <f>D296*D312</f>
        <v>0</v>
      </c>
      <c r="E313" s="1">
        <f t="shared" ref="E313:T313" si="76">E296*E312</f>
        <v>0</v>
      </c>
      <c r="F313" s="1">
        <f t="shared" si="76"/>
        <v>0</v>
      </c>
      <c r="G313" s="1">
        <f t="shared" si="76"/>
        <v>0</v>
      </c>
      <c r="H313" s="1">
        <f t="shared" si="76"/>
        <v>0</v>
      </c>
      <c r="I313" s="1">
        <f t="shared" si="76"/>
        <v>98749.579076923081</v>
      </c>
      <c r="J313" s="1">
        <f t="shared" si="76"/>
        <v>14503.599999999999</v>
      </c>
      <c r="K313" s="1">
        <f t="shared" si="76"/>
        <v>10801.6</v>
      </c>
      <c r="L313" s="1">
        <f t="shared" si="76"/>
        <v>2368.7999999999997</v>
      </c>
      <c r="M313" s="1">
        <f t="shared" si="76"/>
        <v>0</v>
      </c>
      <c r="N313" s="1">
        <f t="shared" si="76"/>
        <v>36911.485846153846</v>
      </c>
      <c r="O313" s="1">
        <f t="shared" si="76"/>
        <v>0</v>
      </c>
      <c r="P313" s="1">
        <f t="shared" si="76"/>
        <v>0</v>
      </c>
      <c r="Q313" s="1">
        <f t="shared" si="76"/>
        <v>0</v>
      </c>
      <c r="R313" s="1">
        <f t="shared" si="76"/>
        <v>0</v>
      </c>
      <c r="S313" s="1">
        <f t="shared" si="76"/>
        <v>0</v>
      </c>
      <c r="T313" s="1">
        <f t="shared" si="76"/>
        <v>0</v>
      </c>
      <c r="U313" s="1">
        <f>SUM(D313:T313)</f>
        <v>163335.06492307695</v>
      </c>
    </row>
  </sheetData>
  <sheetProtection algorithmName="SHA-512" hashValue="HuCi5+wndbsWhR1ICC1I+I8ob993lXjO3pz8JLLxgmstL5MHeYu27Y0D/jDFd06kM7zFLjGAeu4XmTkRVzIxLg==" saltValue="qhGJOlPG/TI6hwUJiEKe/Q==" spinCount="100000" sheet="1" objects="1" scenarios="1"/>
  <mergeCells count="58">
    <mergeCell ref="B95:G95"/>
    <mergeCell ref="B98:D98"/>
    <mergeCell ref="B99:D99"/>
    <mergeCell ref="B100:D100"/>
    <mergeCell ref="B97:D97"/>
    <mergeCell ref="B93:C93"/>
    <mergeCell ref="B70:B71"/>
    <mergeCell ref="C70:F70"/>
    <mergeCell ref="C71:F71"/>
    <mergeCell ref="B75:C75"/>
    <mergeCell ref="B77:C77"/>
    <mergeCell ref="C84:E84"/>
    <mergeCell ref="C85:E85"/>
    <mergeCell ref="C86:E86"/>
    <mergeCell ref="C83:E83"/>
    <mergeCell ref="B80:G80"/>
    <mergeCell ref="B10:D10"/>
    <mergeCell ref="B11:D11"/>
    <mergeCell ref="B33:C33"/>
    <mergeCell ref="B22:C22"/>
    <mergeCell ref="B39:D39"/>
    <mergeCell ref="B28:C28"/>
    <mergeCell ref="B29:C29"/>
    <mergeCell ref="B30:C30"/>
    <mergeCell ref="B31:C31"/>
    <mergeCell ref="B32:C32"/>
    <mergeCell ref="B35:G35"/>
    <mergeCell ref="B38:D38"/>
    <mergeCell ref="B67:D67"/>
    <mergeCell ref="B51:D51"/>
    <mergeCell ref="C59:E59"/>
    <mergeCell ref="B40:D40"/>
    <mergeCell ref="B41:D41"/>
    <mergeCell ref="B52:D52"/>
    <mergeCell ref="B53:D53"/>
    <mergeCell ref="B50:D50"/>
    <mergeCell ref="B46:D46"/>
    <mergeCell ref="B48:G48"/>
    <mergeCell ref="B42:D42"/>
    <mergeCell ref="B43:D43"/>
    <mergeCell ref="B44:D44"/>
    <mergeCell ref="C60:E60"/>
    <mergeCell ref="C61:E61"/>
    <mergeCell ref="B102:E102"/>
    <mergeCell ref="B146:E146"/>
    <mergeCell ref="C264:C265"/>
    <mergeCell ref="C266:C267"/>
    <mergeCell ref="C270:C271"/>
    <mergeCell ref="B131:G131"/>
    <mergeCell ref="B139:G139"/>
    <mergeCell ref="B141:D141"/>
    <mergeCell ref="B142:D142"/>
    <mergeCell ref="B143:D143"/>
    <mergeCell ref="B144:D144"/>
    <mergeCell ref="B148:E148"/>
    <mergeCell ref="B147:E147"/>
    <mergeCell ref="B103:E103"/>
    <mergeCell ref="B108:G108"/>
  </mergeCells>
  <phoneticPr fontId="1"/>
  <conditionalFormatting sqref="E52">
    <cfRule type="expression" dxfId="5" priority="13">
      <formula>E44=0</formula>
    </cfRule>
    <cfRule type="expression" dxfId="4" priority="16">
      <formula>(E44=0)</formula>
    </cfRule>
  </conditionalFormatting>
  <conditionalFormatting sqref="F52">
    <cfRule type="expression" dxfId="3" priority="12">
      <formula>F44=0</formula>
    </cfRule>
  </conditionalFormatting>
  <conditionalFormatting sqref="G52">
    <cfRule type="expression" dxfId="2" priority="6">
      <formula>G44=0</formula>
    </cfRule>
  </conditionalFormatting>
  <conditionalFormatting sqref="F53">
    <cfRule type="expression" dxfId="1" priority="5">
      <formula>F44=0</formula>
    </cfRule>
  </conditionalFormatting>
  <conditionalFormatting sqref="G53">
    <cfRule type="expression" dxfId="0" priority="4">
      <formula>G44=0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853F99E2-8ECE-40AC-93B5-AAB107E76D24}">
          <x14:formula1>
            <xm:f>SIM用基本データ!$K$142:$K$143</xm:f>
          </x14:formula1>
          <xm:sqref>C72 B137</xm:sqref>
        </x14:dataValidation>
        <x14:dataValidation type="list" allowBlank="1" showInputMessage="1" showErrorMessage="1" xr:uid="{8192D69F-5106-454E-A68D-F8DC31635358}">
          <x14:formula1>
            <xm:f>SIM用基本データ!$C$142:$C$146</xm:f>
          </x14:formula1>
          <xm:sqref>E39:G39</xm:sqref>
        </x14:dataValidation>
        <x14:dataValidation type="list" allowBlank="1" showInputMessage="1" showErrorMessage="1" xr:uid="{8E30924C-75BA-445F-8CD0-366193B3A807}">
          <x14:formula1>
            <xm:f>SIM用基本データ!$D$142:$D$143</xm:f>
          </x14:formula1>
          <xm:sqref>E40:G40</xm:sqref>
        </x14:dataValidation>
        <x14:dataValidation type="list" allowBlank="1" showInputMessage="1" showErrorMessage="1" xr:uid="{09086D0C-DFD6-4AF1-8B78-614F8F6EAC5C}">
          <x14:formula1>
            <xm:f>SIM用基本データ!$E$142:$E$143</xm:f>
          </x14:formula1>
          <xm:sqref>E42:G42</xm:sqref>
        </x14:dataValidation>
        <x14:dataValidation type="list" allowBlank="1" showInputMessage="1" showErrorMessage="1" xr:uid="{2ADCBFA6-10F5-4771-864E-D55A0FF3672E}">
          <x14:formula1>
            <xm:f>SIM用基本データ!$F$142:$F$143</xm:f>
          </x14:formula1>
          <xm:sqref>E41:G42</xm:sqref>
        </x14:dataValidation>
        <x14:dataValidation type="list" allowBlank="1" showInputMessage="1" showErrorMessage="1" xr:uid="{1CC55A0C-A375-49E2-92B5-07136FF648FE}">
          <x14:formula1>
            <xm:f>SIM用基本データ!$G$142:$G$143</xm:f>
          </x14:formula1>
          <xm:sqref>E43:G43</xm:sqref>
        </x14:dataValidation>
        <x14:dataValidation type="list" allowBlank="1" showInputMessage="1" showErrorMessage="1" xr:uid="{9F6DC2A0-7F28-4D78-A3E6-1683D54AE5BA}">
          <x14:formula1>
            <xm:f>SIM用基本データ!$I$142:$I$143</xm:f>
          </x14:formula1>
          <xm:sqref>B22</xm:sqref>
        </x14:dataValidation>
        <x14:dataValidation type="list" allowBlank="1" showInputMessage="1" showErrorMessage="1" xr:uid="{1FCFA160-44E2-4A06-8579-888CD9696C88}">
          <x14:formula1>
            <xm:f>SIM用基本データ!$M$141:$M$142</xm:f>
          </x14:formula1>
          <xm:sqref>B93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235E9-9663-4DC8-8ABB-118FCA8223B1}">
  <dimension ref="B2:M78"/>
  <sheetViews>
    <sheetView topLeftCell="A61" workbookViewId="0">
      <selection activeCell="G72" sqref="G72"/>
    </sheetView>
  </sheetViews>
  <sheetFormatPr defaultRowHeight="15" x14ac:dyDescent="0.55000000000000004"/>
  <cols>
    <col min="1" max="4" width="8.6640625" style="1"/>
    <col min="5" max="6" width="9.9140625" style="1" customWidth="1"/>
    <col min="7" max="16384" width="8.6640625" style="1"/>
  </cols>
  <sheetData>
    <row r="2" spans="2:13" x14ac:dyDescent="0.55000000000000004">
      <c r="B2" s="1" t="s">
        <v>892</v>
      </c>
    </row>
    <row r="3" spans="2:13" x14ac:dyDescent="0.55000000000000004">
      <c r="B3" s="1" t="s">
        <v>325</v>
      </c>
    </row>
    <row r="4" spans="2:13" x14ac:dyDescent="0.55000000000000004">
      <c r="B4" s="1" t="s">
        <v>326</v>
      </c>
    </row>
    <row r="5" spans="2:13" x14ac:dyDescent="0.55000000000000004">
      <c r="B5" s="1" t="s">
        <v>544</v>
      </c>
    </row>
    <row r="6" spans="2:13" x14ac:dyDescent="0.55000000000000004">
      <c r="B6" s="1" t="s">
        <v>330</v>
      </c>
    </row>
    <row r="7" spans="2:13" x14ac:dyDescent="0.55000000000000004">
      <c r="B7" s="40" t="s">
        <v>633</v>
      </c>
      <c r="C7" s="40" t="s">
        <v>237</v>
      </c>
      <c r="D7" s="40" t="s">
        <v>273</v>
      </c>
      <c r="E7" s="40" t="s">
        <v>279</v>
      </c>
      <c r="F7" s="40" t="s">
        <v>275</v>
      </c>
      <c r="G7" s="40" t="s">
        <v>169</v>
      </c>
      <c r="H7" s="40" t="s">
        <v>167</v>
      </c>
      <c r="I7" s="40" t="s">
        <v>168</v>
      </c>
      <c r="J7" s="40" t="s">
        <v>170</v>
      </c>
      <c r="K7" s="40" t="s">
        <v>171</v>
      </c>
      <c r="L7" s="40" t="s">
        <v>234</v>
      </c>
      <c r="M7" s="105" t="s">
        <v>26</v>
      </c>
    </row>
    <row r="8" spans="2:13" x14ac:dyDescent="0.55000000000000004">
      <c r="B8" s="158" t="s">
        <v>634</v>
      </c>
      <c r="C8" s="137" t="s">
        <v>231</v>
      </c>
      <c r="D8" s="137" t="s">
        <v>176</v>
      </c>
      <c r="E8" s="137" t="s">
        <v>289</v>
      </c>
      <c r="F8" s="40" t="s">
        <v>232</v>
      </c>
      <c r="G8" s="7">
        <v>924</v>
      </c>
      <c r="H8" s="7">
        <v>13935</v>
      </c>
      <c r="I8" s="7">
        <v>6036</v>
      </c>
      <c r="J8" s="107">
        <f>IF($D$74="省エネ量計算",20417,14417)</f>
        <v>20417</v>
      </c>
      <c r="K8" s="107">
        <f t="shared" ref="K8:K47" si="0">IF($D$74="省エネ量計算",6135,4773)</f>
        <v>6135</v>
      </c>
      <c r="L8" s="7">
        <v>21241</v>
      </c>
      <c r="M8" s="42">
        <f>ROUND(SUM(G8:L8)/1000,1)</f>
        <v>68.7</v>
      </c>
    </row>
    <row r="9" spans="2:13" x14ac:dyDescent="0.55000000000000004">
      <c r="B9" s="158"/>
      <c r="C9" s="137"/>
      <c r="D9" s="137"/>
      <c r="E9" s="137"/>
      <c r="F9" s="40" t="s">
        <v>296</v>
      </c>
      <c r="G9" s="7">
        <v>924</v>
      </c>
      <c r="H9" s="7">
        <v>13935</v>
      </c>
      <c r="I9" s="7">
        <v>6036</v>
      </c>
      <c r="J9" s="7">
        <v>11346</v>
      </c>
      <c r="K9" s="107">
        <f t="shared" si="0"/>
        <v>6135</v>
      </c>
      <c r="L9" s="7">
        <v>21241</v>
      </c>
      <c r="M9" s="42">
        <f t="shared" ref="M9:M47" si="1">ROUND(SUM(G9:L9)/1000,1)</f>
        <v>59.6</v>
      </c>
    </row>
    <row r="10" spans="2:13" x14ac:dyDescent="0.55000000000000004">
      <c r="B10" s="158"/>
      <c r="C10" s="137"/>
      <c r="D10" s="137" t="s">
        <v>195</v>
      </c>
      <c r="E10" s="137"/>
      <c r="F10" s="40" t="s">
        <v>232</v>
      </c>
      <c r="G10" s="7">
        <v>4834</v>
      </c>
      <c r="H10" s="7">
        <v>11988</v>
      </c>
      <c r="I10" s="7">
        <v>6036</v>
      </c>
      <c r="J10" s="107">
        <f>IF($D$74="省エネ量計算",20417,14417)</f>
        <v>20417</v>
      </c>
      <c r="K10" s="107">
        <f t="shared" si="0"/>
        <v>6135</v>
      </c>
      <c r="L10" s="7">
        <v>21241</v>
      </c>
      <c r="M10" s="42">
        <f t="shared" si="1"/>
        <v>70.7</v>
      </c>
    </row>
    <row r="11" spans="2:13" x14ac:dyDescent="0.55000000000000004">
      <c r="B11" s="158"/>
      <c r="C11" s="137"/>
      <c r="D11" s="137"/>
      <c r="E11" s="137"/>
      <c r="F11" s="40" t="s">
        <v>296</v>
      </c>
      <c r="G11" s="7">
        <v>4834</v>
      </c>
      <c r="H11" s="7">
        <v>11988</v>
      </c>
      <c r="I11" s="7">
        <v>6036</v>
      </c>
      <c r="J11" s="7">
        <v>11346</v>
      </c>
      <c r="K11" s="107">
        <f t="shared" si="0"/>
        <v>6135</v>
      </c>
      <c r="L11" s="7">
        <v>21241</v>
      </c>
      <c r="M11" s="42">
        <f t="shared" si="1"/>
        <v>61.6</v>
      </c>
    </row>
    <row r="12" spans="2:13" x14ac:dyDescent="0.55000000000000004">
      <c r="B12" s="158"/>
      <c r="C12" s="137" t="s">
        <v>299</v>
      </c>
      <c r="D12" s="137" t="s">
        <v>176</v>
      </c>
      <c r="E12" s="137" t="s">
        <v>289</v>
      </c>
      <c r="F12" s="40" t="s">
        <v>232</v>
      </c>
      <c r="G12" s="7">
        <v>924</v>
      </c>
      <c r="H12" s="7">
        <v>36313</v>
      </c>
      <c r="I12" s="7">
        <v>14874</v>
      </c>
      <c r="J12" s="107">
        <f>IF($D$74="省エネ量計算",20417,14417)</f>
        <v>20417</v>
      </c>
      <c r="K12" s="107">
        <f t="shared" si="0"/>
        <v>6135</v>
      </c>
      <c r="L12" s="7">
        <v>21241</v>
      </c>
      <c r="M12" s="42">
        <f t="shared" si="1"/>
        <v>99.9</v>
      </c>
    </row>
    <row r="13" spans="2:13" x14ac:dyDescent="0.55000000000000004">
      <c r="B13" s="158"/>
      <c r="C13" s="137"/>
      <c r="D13" s="137"/>
      <c r="E13" s="137"/>
      <c r="F13" s="40" t="s">
        <v>296</v>
      </c>
      <c r="G13" s="7">
        <v>924</v>
      </c>
      <c r="H13" s="7">
        <v>36313</v>
      </c>
      <c r="I13" s="7">
        <v>14874</v>
      </c>
      <c r="J13" s="7">
        <v>11346</v>
      </c>
      <c r="K13" s="107">
        <f t="shared" si="0"/>
        <v>6135</v>
      </c>
      <c r="L13" s="7">
        <v>21241</v>
      </c>
      <c r="M13" s="42">
        <f t="shared" si="1"/>
        <v>90.8</v>
      </c>
    </row>
    <row r="14" spans="2:13" x14ac:dyDescent="0.55000000000000004">
      <c r="B14" s="158"/>
      <c r="C14" s="137"/>
      <c r="D14" s="137" t="s">
        <v>195</v>
      </c>
      <c r="E14" s="40" t="s">
        <v>280</v>
      </c>
      <c r="F14" s="137" t="s">
        <v>232</v>
      </c>
      <c r="G14" s="7">
        <v>4834</v>
      </c>
      <c r="H14" s="7">
        <v>31247</v>
      </c>
      <c r="I14" s="7">
        <v>14874</v>
      </c>
      <c r="J14" s="107">
        <f>IF($D$74="省エネ量計算",20417,14417)</f>
        <v>20417</v>
      </c>
      <c r="K14" s="107">
        <f t="shared" si="0"/>
        <v>6135</v>
      </c>
      <c r="L14" s="7">
        <v>21241</v>
      </c>
      <c r="M14" s="42">
        <f t="shared" si="1"/>
        <v>98.7</v>
      </c>
    </row>
    <row r="15" spans="2:13" x14ac:dyDescent="0.55000000000000004">
      <c r="B15" s="158"/>
      <c r="C15" s="137"/>
      <c r="D15" s="137"/>
      <c r="E15" s="40" t="s">
        <v>287</v>
      </c>
      <c r="F15" s="137"/>
      <c r="G15" s="7">
        <v>4834</v>
      </c>
      <c r="H15" s="52">
        <f>H14*$D$55</f>
        <v>21872.899999999998</v>
      </c>
      <c r="I15" s="52">
        <f>I14*$D$55</f>
        <v>10411.799999999999</v>
      </c>
      <c r="J15" s="107">
        <f>IF($D$74="省エネ量計算",20417,14417)</f>
        <v>20417</v>
      </c>
      <c r="K15" s="107">
        <f t="shared" si="0"/>
        <v>6135</v>
      </c>
      <c r="L15" s="7">
        <v>21241</v>
      </c>
      <c r="M15" s="53">
        <f t="shared" si="1"/>
        <v>84.9</v>
      </c>
    </row>
    <row r="16" spans="2:13" x14ac:dyDescent="0.55000000000000004">
      <c r="B16" s="158"/>
      <c r="C16" s="137"/>
      <c r="D16" s="137"/>
      <c r="E16" s="40" t="s">
        <v>289</v>
      </c>
      <c r="F16" s="137" t="s">
        <v>296</v>
      </c>
      <c r="G16" s="7">
        <v>4834</v>
      </c>
      <c r="H16" s="7">
        <v>31247</v>
      </c>
      <c r="I16" s="7">
        <v>14874</v>
      </c>
      <c r="J16" s="7">
        <v>11346</v>
      </c>
      <c r="K16" s="107">
        <f t="shared" si="0"/>
        <v>6135</v>
      </c>
      <c r="L16" s="7">
        <v>21241</v>
      </c>
      <c r="M16" s="42">
        <f t="shared" si="1"/>
        <v>89.7</v>
      </c>
    </row>
    <row r="17" spans="2:13" x14ac:dyDescent="0.55000000000000004">
      <c r="B17" s="158"/>
      <c r="C17" s="137"/>
      <c r="D17" s="137"/>
      <c r="E17" s="40" t="s">
        <v>287</v>
      </c>
      <c r="F17" s="137"/>
      <c r="G17" s="7">
        <v>4834</v>
      </c>
      <c r="H17" s="52">
        <f>H16*$D$55</f>
        <v>21872.899999999998</v>
      </c>
      <c r="I17" s="52">
        <f>I16*$D$55</f>
        <v>10411.799999999999</v>
      </c>
      <c r="J17" s="7">
        <v>11346</v>
      </c>
      <c r="K17" s="107">
        <f t="shared" si="0"/>
        <v>6135</v>
      </c>
      <c r="L17" s="7">
        <v>21241</v>
      </c>
      <c r="M17" s="53">
        <f t="shared" si="1"/>
        <v>75.8</v>
      </c>
    </row>
    <row r="18" spans="2:13" x14ac:dyDescent="0.55000000000000004">
      <c r="B18" s="158" t="s">
        <v>894</v>
      </c>
      <c r="C18" s="137" t="s">
        <v>231</v>
      </c>
      <c r="D18" s="137" t="s">
        <v>176</v>
      </c>
      <c r="E18" s="137" t="s">
        <v>289</v>
      </c>
      <c r="F18" s="40" t="s">
        <v>232</v>
      </c>
      <c r="G18" s="7">
        <v>924</v>
      </c>
      <c r="H18" s="7">
        <v>12135</v>
      </c>
      <c r="I18" s="7">
        <v>4480</v>
      </c>
      <c r="J18" s="107">
        <f>IF($D$74="省エネ量計算",20417,14417)</f>
        <v>20417</v>
      </c>
      <c r="K18" s="107">
        <f t="shared" si="0"/>
        <v>6135</v>
      </c>
      <c r="L18" s="7">
        <v>21241</v>
      </c>
      <c r="M18" s="42">
        <f t="shared" si="1"/>
        <v>65.3</v>
      </c>
    </row>
    <row r="19" spans="2:13" x14ac:dyDescent="0.55000000000000004">
      <c r="B19" s="158"/>
      <c r="C19" s="137"/>
      <c r="D19" s="137"/>
      <c r="E19" s="137"/>
      <c r="F19" s="40" t="s">
        <v>296</v>
      </c>
      <c r="G19" s="7">
        <v>924</v>
      </c>
      <c r="H19" s="7">
        <v>12135</v>
      </c>
      <c r="I19" s="7">
        <v>4480</v>
      </c>
      <c r="J19" s="7">
        <v>11346</v>
      </c>
      <c r="K19" s="107">
        <f t="shared" si="0"/>
        <v>6135</v>
      </c>
      <c r="L19" s="7">
        <v>21241</v>
      </c>
      <c r="M19" s="42">
        <f t="shared" si="1"/>
        <v>56.3</v>
      </c>
    </row>
    <row r="20" spans="2:13" x14ac:dyDescent="0.55000000000000004">
      <c r="B20" s="158"/>
      <c r="C20" s="137"/>
      <c r="D20" s="137" t="s">
        <v>195</v>
      </c>
      <c r="E20" s="137"/>
      <c r="F20" s="40" t="s">
        <v>232</v>
      </c>
      <c r="G20" s="7">
        <v>4834</v>
      </c>
      <c r="H20" s="7">
        <v>9906</v>
      </c>
      <c r="I20" s="7">
        <v>4480</v>
      </c>
      <c r="J20" s="107">
        <f>IF($D$74="省エネ量計算",20417,14417)</f>
        <v>20417</v>
      </c>
      <c r="K20" s="107">
        <f t="shared" si="0"/>
        <v>6135</v>
      </c>
      <c r="L20" s="7">
        <v>21241</v>
      </c>
      <c r="M20" s="42">
        <f t="shared" si="1"/>
        <v>67</v>
      </c>
    </row>
    <row r="21" spans="2:13" x14ac:dyDescent="0.55000000000000004">
      <c r="B21" s="158"/>
      <c r="C21" s="137"/>
      <c r="D21" s="137"/>
      <c r="E21" s="137"/>
      <c r="F21" s="40" t="s">
        <v>296</v>
      </c>
      <c r="G21" s="7">
        <v>4834</v>
      </c>
      <c r="H21" s="7">
        <v>9906</v>
      </c>
      <c r="I21" s="7">
        <v>4480</v>
      </c>
      <c r="J21" s="7">
        <v>11346</v>
      </c>
      <c r="K21" s="107">
        <f t="shared" si="0"/>
        <v>6135</v>
      </c>
      <c r="L21" s="7">
        <v>21241</v>
      </c>
      <c r="M21" s="42">
        <f t="shared" si="1"/>
        <v>57.9</v>
      </c>
    </row>
    <row r="22" spans="2:13" x14ac:dyDescent="0.55000000000000004">
      <c r="B22" s="158"/>
      <c r="C22" s="137" t="s">
        <v>299</v>
      </c>
      <c r="D22" s="137" t="s">
        <v>176</v>
      </c>
      <c r="E22" s="137" t="s">
        <v>289</v>
      </c>
      <c r="F22" s="40" t="s">
        <v>232</v>
      </c>
      <c r="G22" s="7">
        <v>924</v>
      </c>
      <c r="H22" s="7">
        <v>33400</v>
      </c>
      <c r="I22" s="7">
        <v>12448</v>
      </c>
      <c r="J22" s="107">
        <f>IF($D$74="省エネ量計算",20417,14417)</f>
        <v>20417</v>
      </c>
      <c r="K22" s="107">
        <f t="shared" si="0"/>
        <v>6135</v>
      </c>
      <c r="L22" s="7">
        <v>21241</v>
      </c>
      <c r="M22" s="42">
        <f t="shared" si="1"/>
        <v>94.6</v>
      </c>
    </row>
    <row r="23" spans="2:13" x14ac:dyDescent="0.55000000000000004">
      <c r="B23" s="158"/>
      <c r="C23" s="137"/>
      <c r="D23" s="137"/>
      <c r="E23" s="137"/>
      <c r="F23" s="40" t="s">
        <v>296</v>
      </c>
      <c r="G23" s="7">
        <v>924</v>
      </c>
      <c r="H23" s="7">
        <v>33400</v>
      </c>
      <c r="I23" s="7">
        <v>12448</v>
      </c>
      <c r="J23" s="7">
        <v>11346</v>
      </c>
      <c r="K23" s="107">
        <f t="shared" si="0"/>
        <v>6135</v>
      </c>
      <c r="L23" s="7">
        <v>21241</v>
      </c>
      <c r="M23" s="42">
        <f t="shared" si="1"/>
        <v>85.5</v>
      </c>
    </row>
    <row r="24" spans="2:13" x14ac:dyDescent="0.55000000000000004">
      <c r="B24" s="158"/>
      <c r="C24" s="137"/>
      <c r="D24" s="137" t="s">
        <v>195</v>
      </c>
      <c r="E24" s="40" t="s">
        <v>289</v>
      </c>
      <c r="F24" s="137" t="s">
        <v>232</v>
      </c>
      <c r="G24" s="7">
        <v>4834</v>
      </c>
      <c r="H24" s="7">
        <v>28238</v>
      </c>
      <c r="I24" s="7">
        <v>12448</v>
      </c>
      <c r="J24" s="107">
        <f>IF($D$74="省エネ量計算",20417,14417)</f>
        <v>20417</v>
      </c>
      <c r="K24" s="107">
        <f t="shared" si="0"/>
        <v>6135</v>
      </c>
      <c r="L24" s="7">
        <v>21241</v>
      </c>
      <c r="M24" s="42">
        <f t="shared" si="1"/>
        <v>93.3</v>
      </c>
    </row>
    <row r="25" spans="2:13" x14ac:dyDescent="0.55000000000000004">
      <c r="B25" s="158"/>
      <c r="C25" s="137"/>
      <c r="D25" s="137"/>
      <c r="E25" s="40" t="s">
        <v>287</v>
      </c>
      <c r="F25" s="137"/>
      <c r="G25" s="7">
        <v>4834</v>
      </c>
      <c r="H25" s="52">
        <f>H24*$D$55</f>
        <v>19766.599999999999</v>
      </c>
      <c r="I25" s="52">
        <f>I24*$D$55</f>
        <v>8713.5999999999985</v>
      </c>
      <c r="J25" s="107">
        <f>IF($D$74="省エネ量計算",20417,14417)</f>
        <v>20417</v>
      </c>
      <c r="K25" s="107">
        <f t="shared" si="0"/>
        <v>6135</v>
      </c>
      <c r="L25" s="7">
        <v>21241</v>
      </c>
      <c r="M25" s="53">
        <f t="shared" si="1"/>
        <v>81.099999999999994</v>
      </c>
    </row>
    <row r="26" spans="2:13" x14ac:dyDescent="0.55000000000000004">
      <c r="B26" s="158"/>
      <c r="C26" s="137"/>
      <c r="D26" s="137"/>
      <c r="E26" s="40" t="s">
        <v>289</v>
      </c>
      <c r="F26" s="137" t="s">
        <v>296</v>
      </c>
      <c r="G26" s="7">
        <v>4834</v>
      </c>
      <c r="H26" s="7">
        <v>28238</v>
      </c>
      <c r="I26" s="7">
        <v>12448</v>
      </c>
      <c r="J26" s="7">
        <v>11346</v>
      </c>
      <c r="K26" s="107">
        <f t="shared" si="0"/>
        <v>6135</v>
      </c>
      <c r="L26" s="7">
        <v>21241</v>
      </c>
      <c r="M26" s="42">
        <f t="shared" si="1"/>
        <v>84.2</v>
      </c>
    </row>
    <row r="27" spans="2:13" x14ac:dyDescent="0.55000000000000004">
      <c r="B27" s="158"/>
      <c r="C27" s="137"/>
      <c r="D27" s="137"/>
      <c r="E27" s="40" t="s">
        <v>287</v>
      </c>
      <c r="F27" s="137"/>
      <c r="G27" s="7">
        <v>4834</v>
      </c>
      <c r="H27" s="52">
        <f>H26*$D$55</f>
        <v>19766.599999999999</v>
      </c>
      <c r="I27" s="52">
        <f>I26*$D$55</f>
        <v>8713.5999999999985</v>
      </c>
      <c r="J27" s="7">
        <v>11346</v>
      </c>
      <c r="K27" s="107">
        <f t="shared" si="0"/>
        <v>6135</v>
      </c>
      <c r="L27" s="7">
        <v>21241</v>
      </c>
      <c r="M27" s="53">
        <f t="shared" si="1"/>
        <v>72</v>
      </c>
    </row>
    <row r="28" spans="2:13" x14ac:dyDescent="0.55000000000000004">
      <c r="B28" s="158" t="s">
        <v>635</v>
      </c>
      <c r="C28" s="137" t="s">
        <v>231</v>
      </c>
      <c r="D28" s="137" t="s">
        <v>176</v>
      </c>
      <c r="E28" s="137" t="s">
        <v>289</v>
      </c>
      <c r="F28" s="40" t="s">
        <v>232</v>
      </c>
      <c r="G28" s="7">
        <v>924</v>
      </c>
      <c r="H28" s="7">
        <v>10622</v>
      </c>
      <c r="I28" s="7">
        <v>4445</v>
      </c>
      <c r="J28" s="107">
        <f>IF($D$74="省エネ量計算",20417,14417)</f>
        <v>20417</v>
      </c>
      <c r="K28" s="107">
        <f t="shared" si="0"/>
        <v>6135</v>
      </c>
      <c r="L28" s="7">
        <v>21241</v>
      </c>
      <c r="M28" s="42">
        <f t="shared" si="1"/>
        <v>63.8</v>
      </c>
    </row>
    <row r="29" spans="2:13" x14ac:dyDescent="0.55000000000000004">
      <c r="B29" s="158"/>
      <c r="C29" s="137"/>
      <c r="D29" s="137"/>
      <c r="E29" s="137"/>
      <c r="F29" s="40" t="s">
        <v>296</v>
      </c>
      <c r="G29" s="7">
        <v>924</v>
      </c>
      <c r="H29" s="7">
        <v>10622</v>
      </c>
      <c r="I29" s="7">
        <v>4445</v>
      </c>
      <c r="J29" s="7">
        <v>11346</v>
      </c>
      <c r="K29" s="107">
        <f t="shared" si="0"/>
        <v>6135</v>
      </c>
      <c r="L29" s="7">
        <v>21241</v>
      </c>
      <c r="M29" s="42">
        <f t="shared" si="1"/>
        <v>54.7</v>
      </c>
    </row>
    <row r="30" spans="2:13" x14ac:dyDescent="0.55000000000000004">
      <c r="B30" s="158"/>
      <c r="C30" s="137"/>
      <c r="D30" s="137" t="s">
        <v>195</v>
      </c>
      <c r="E30" s="137"/>
      <c r="F30" s="40" t="s">
        <v>232</v>
      </c>
      <c r="G30" s="7">
        <v>4834</v>
      </c>
      <c r="H30" s="7">
        <v>8193</v>
      </c>
      <c r="I30" s="7">
        <v>4445</v>
      </c>
      <c r="J30" s="107">
        <f>IF($D$74="省エネ量計算",20417,14417)</f>
        <v>20417</v>
      </c>
      <c r="K30" s="107">
        <f t="shared" si="0"/>
        <v>6135</v>
      </c>
      <c r="L30" s="7">
        <v>21241</v>
      </c>
      <c r="M30" s="42">
        <f t="shared" si="1"/>
        <v>65.3</v>
      </c>
    </row>
    <row r="31" spans="2:13" x14ac:dyDescent="0.55000000000000004">
      <c r="B31" s="158"/>
      <c r="C31" s="137"/>
      <c r="D31" s="137"/>
      <c r="E31" s="137"/>
      <c r="F31" s="40" t="s">
        <v>296</v>
      </c>
      <c r="G31" s="7">
        <v>4834</v>
      </c>
      <c r="H31" s="7">
        <v>8193</v>
      </c>
      <c r="I31" s="7">
        <v>4445</v>
      </c>
      <c r="J31" s="7">
        <v>11346</v>
      </c>
      <c r="K31" s="107">
        <f t="shared" si="0"/>
        <v>6135</v>
      </c>
      <c r="L31" s="7">
        <v>21241</v>
      </c>
      <c r="M31" s="42">
        <f t="shared" si="1"/>
        <v>56.2</v>
      </c>
    </row>
    <row r="32" spans="2:13" x14ac:dyDescent="0.55000000000000004">
      <c r="B32" s="158"/>
      <c r="C32" s="137" t="s">
        <v>299</v>
      </c>
      <c r="D32" s="137" t="s">
        <v>176</v>
      </c>
      <c r="E32" s="137" t="s">
        <v>289</v>
      </c>
      <c r="F32" s="40" t="s">
        <v>232</v>
      </c>
      <c r="G32" s="7">
        <v>924</v>
      </c>
      <c r="H32" s="7">
        <v>30801</v>
      </c>
      <c r="I32" s="7">
        <v>12531</v>
      </c>
      <c r="J32" s="107">
        <f>IF($D$74="省エネ量計算",20417,14417)</f>
        <v>20417</v>
      </c>
      <c r="K32" s="107">
        <f t="shared" si="0"/>
        <v>6135</v>
      </c>
      <c r="L32" s="7">
        <v>21241</v>
      </c>
      <c r="M32" s="42">
        <f t="shared" si="1"/>
        <v>92</v>
      </c>
    </row>
    <row r="33" spans="2:13" x14ac:dyDescent="0.55000000000000004">
      <c r="B33" s="158"/>
      <c r="C33" s="137"/>
      <c r="D33" s="137"/>
      <c r="E33" s="137"/>
      <c r="F33" s="40" t="s">
        <v>296</v>
      </c>
      <c r="G33" s="7">
        <v>924</v>
      </c>
      <c r="H33" s="7">
        <v>30801</v>
      </c>
      <c r="I33" s="7">
        <v>12531</v>
      </c>
      <c r="J33" s="7">
        <v>11346</v>
      </c>
      <c r="K33" s="107">
        <f t="shared" si="0"/>
        <v>6135</v>
      </c>
      <c r="L33" s="7">
        <v>21241</v>
      </c>
      <c r="M33" s="42">
        <f t="shared" si="1"/>
        <v>83</v>
      </c>
    </row>
    <row r="34" spans="2:13" x14ac:dyDescent="0.55000000000000004">
      <c r="B34" s="158"/>
      <c r="C34" s="137"/>
      <c r="D34" s="137" t="s">
        <v>195</v>
      </c>
      <c r="E34" s="40" t="s">
        <v>289</v>
      </c>
      <c r="F34" s="137" t="s">
        <v>232</v>
      </c>
      <c r="G34" s="7">
        <v>4834</v>
      </c>
      <c r="H34" s="7">
        <v>25227</v>
      </c>
      <c r="I34" s="7">
        <v>12531</v>
      </c>
      <c r="J34" s="107">
        <f>IF($D$74="省エネ量計算",20417,14417)</f>
        <v>20417</v>
      </c>
      <c r="K34" s="107">
        <f t="shared" si="0"/>
        <v>6135</v>
      </c>
      <c r="L34" s="7">
        <v>21241</v>
      </c>
      <c r="M34" s="42">
        <f t="shared" si="1"/>
        <v>90.4</v>
      </c>
    </row>
    <row r="35" spans="2:13" x14ac:dyDescent="0.55000000000000004">
      <c r="B35" s="158"/>
      <c r="C35" s="137"/>
      <c r="D35" s="137"/>
      <c r="E35" s="40" t="s">
        <v>287</v>
      </c>
      <c r="F35" s="137"/>
      <c r="G35" s="7">
        <v>4834</v>
      </c>
      <c r="H35" s="52">
        <f>H34*$D$55</f>
        <v>17658.899999999998</v>
      </c>
      <c r="I35" s="52">
        <f>I34*$D$55</f>
        <v>8771.6999999999989</v>
      </c>
      <c r="J35" s="107">
        <f>IF($D$74="省エネ量計算",20417,14417)</f>
        <v>20417</v>
      </c>
      <c r="K35" s="107">
        <f t="shared" si="0"/>
        <v>6135</v>
      </c>
      <c r="L35" s="7">
        <v>21241</v>
      </c>
      <c r="M35" s="53">
        <f t="shared" si="1"/>
        <v>79.099999999999994</v>
      </c>
    </row>
    <row r="36" spans="2:13" x14ac:dyDescent="0.55000000000000004">
      <c r="B36" s="158"/>
      <c r="C36" s="137"/>
      <c r="D36" s="137"/>
      <c r="E36" s="40" t="s">
        <v>289</v>
      </c>
      <c r="F36" s="137" t="s">
        <v>296</v>
      </c>
      <c r="G36" s="7">
        <v>4834</v>
      </c>
      <c r="H36" s="7">
        <v>25227</v>
      </c>
      <c r="I36" s="7">
        <v>12531</v>
      </c>
      <c r="J36" s="7">
        <v>11346</v>
      </c>
      <c r="K36" s="107">
        <f t="shared" si="0"/>
        <v>6135</v>
      </c>
      <c r="L36" s="7">
        <v>21241</v>
      </c>
      <c r="M36" s="42">
        <f t="shared" si="1"/>
        <v>81.3</v>
      </c>
    </row>
    <row r="37" spans="2:13" x14ac:dyDescent="0.55000000000000004">
      <c r="B37" s="158"/>
      <c r="C37" s="137"/>
      <c r="D37" s="137"/>
      <c r="E37" s="40" t="s">
        <v>287</v>
      </c>
      <c r="F37" s="137"/>
      <c r="G37" s="7">
        <v>4834</v>
      </c>
      <c r="H37" s="52">
        <f>H36*$D$55</f>
        <v>17658.899999999998</v>
      </c>
      <c r="I37" s="52">
        <f>I36*$D$55</f>
        <v>8771.6999999999989</v>
      </c>
      <c r="J37" s="7">
        <v>11346</v>
      </c>
      <c r="K37" s="107">
        <f t="shared" si="0"/>
        <v>6135</v>
      </c>
      <c r="L37" s="7">
        <v>21241</v>
      </c>
      <c r="M37" s="53">
        <f t="shared" si="1"/>
        <v>70</v>
      </c>
    </row>
    <row r="38" spans="2:13" x14ac:dyDescent="0.55000000000000004">
      <c r="B38" s="158" t="s">
        <v>636</v>
      </c>
      <c r="C38" s="137" t="s">
        <v>231</v>
      </c>
      <c r="D38" s="137" t="s">
        <v>176</v>
      </c>
      <c r="E38" s="137" t="s">
        <v>289</v>
      </c>
      <c r="F38" s="40" t="s">
        <v>232</v>
      </c>
      <c r="G38" s="7">
        <v>924</v>
      </c>
      <c r="H38" s="7">
        <v>7858</v>
      </c>
      <c r="I38" s="7">
        <v>4247</v>
      </c>
      <c r="J38" s="107">
        <f>IF($D$74="省エネ量計算",20417,14417)</f>
        <v>20417</v>
      </c>
      <c r="K38" s="107">
        <f t="shared" si="0"/>
        <v>6135</v>
      </c>
      <c r="L38" s="7">
        <v>21241</v>
      </c>
      <c r="M38" s="42">
        <f t="shared" si="1"/>
        <v>60.8</v>
      </c>
    </row>
    <row r="39" spans="2:13" x14ac:dyDescent="0.55000000000000004">
      <c r="B39" s="158"/>
      <c r="C39" s="137"/>
      <c r="D39" s="137"/>
      <c r="E39" s="137"/>
      <c r="F39" s="40" t="s">
        <v>296</v>
      </c>
      <c r="G39" s="7">
        <v>924</v>
      </c>
      <c r="H39" s="7">
        <v>7858</v>
      </c>
      <c r="I39" s="7">
        <v>4247</v>
      </c>
      <c r="J39" s="7">
        <v>11346</v>
      </c>
      <c r="K39" s="107">
        <f t="shared" si="0"/>
        <v>6135</v>
      </c>
      <c r="L39" s="7">
        <v>21241</v>
      </c>
      <c r="M39" s="42">
        <f t="shared" si="1"/>
        <v>51.8</v>
      </c>
    </row>
    <row r="40" spans="2:13" x14ac:dyDescent="0.55000000000000004">
      <c r="B40" s="158"/>
      <c r="C40" s="137"/>
      <c r="D40" s="137" t="s">
        <v>195</v>
      </c>
      <c r="E40" s="137"/>
      <c r="F40" s="40" t="s">
        <v>232</v>
      </c>
      <c r="G40" s="7">
        <v>4834</v>
      </c>
      <c r="H40" s="7">
        <v>5692</v>
      </c>
      <c r="I40" s="7">
        <v>4247</v>
      </c>
      <c r="J40" s="107">
        <f>IF($D$74="省エネ量計算",20417,14417)</f>
        <v>20417</v>
      </c>
      <c r="K40" s="107">
        <f t="shared" si="0"/>
        <v>6135</v>
      </c>
      <c r="L40" s="7">
        <v>21241</v>
      </c>
      <c r="M40" s="42">
        <f t="shared" si="1"/>
        <v>62.6</v>
      </c>
    </row>
    <row r="41" spans="2:13" x14ac:dyDescent="0.55000000000000004">
      <c r="B41" s="158"/>
      <c r="C41" s="137"/>
      <c r="D41" s="137"/>
      <c r="E41" s="137"/>
      <c r="F41" s="40" t="s">
        <v>296</v>
      </c>
      <c r="G41" s="7">
        <v>4834</v>
      </c>
      <c r="H41" s="7">
        <v>5692</v>
      </c>
      <c r="I41" s="7">
        <v>4247</v>
      </c>
      <c r="J41" s="7">
        <v>11346</v>
      </c>
      <c r="K41" s="107">
        <f t="shared" si="0"/>
        <v>6135</v>
      </c>
      <c r="L41" s="7">
        <v>21241</v>
      </c>
      <c r="M41" s="42">
        <f t="shared" si="1"/>
        <v>53.5</v>
      </c>
    </row>
    <row r="42" spans="2:13" x14ac:dyDescent="0.55000000000000004">
      <c r="B42" s="158"/>
      <c r="C42" s="137" t="s">
        <v>299</v>
      </c>
      <c r="D42" s="137" t="s">
        <v>176</v>
      </c>
      <c r="E42" s="137" t="s">
        <v>289</v>
      </c>
      <c r="F42" s="40" t="s">
        <v>232</v>
      </c>
      <c r="G42" s="7">
        <v>924</v>
      </c>
      <c r="H42" s="7">
        <v>26384</v>
      </c>
      <c r="I42" s="7">
        <v>12606</v>
      </c>
      <c r="J42" s="107">
        <f>IF($D$74="省エネ量計算",20417,14417)</f>
        <v>20417</v>
      </c>
      <c r="K42" s="107">
        <f t="shared" si="0"/>
        <v>6135</v>
      </c>
      <c r="L42" s="7">
        <v>21241</v>
      </c>
      <c r="M42" s="42">
        <f t="shared" si="1"/>
        <v>87.7</v>
      </c>
    </row>
    <row r="43" spans="2:13" x14ac:dyDescent="0.55000000000000004">
      <c r="B43" s="158"/>
      <c r="C43" s="137"/>
      <c r="D43" s="137"/>
      <c r="E43" s="137"/>
      <c r="F43" s="40" t="s">
        <v>296</v>
      </c>
      <c r="G43" s="7">
        <v>924</v>
      </c>
      <c r="H43" s="7">
        <v>26384</v>
      </c>
      <c r="I43" s="7">
        <v>12606</v>
      </c>
      <c r="J43" s="7">
        <v>11346</v>
      </c>
      <c r="K43" s="107">
        <f t="shared" si="0"/>
        <v>6135</v>
      </c>
      <c r="L43" s="7">
        <v>21241</v>
      </c>
      <c r="M43" s="42">
        <f t="shared" si="1"/>
        <v>78.599999999999994</v>
      </c>
    </row>
    <row r="44" spans="2:13" x14ac:dyDescent="0.55000000000000004">
      <c r="B44" s="158"/>
      <c r="C44" s="137"/>
      <c r="D44" s="137" t="s">
        <v>195</v>
      </c>
      <c r="E44" s="40" t="s">
        <v>289</v>
      </c>
      <c r="F44" s="137" t="s">
        <v>232</v>
      </c>
      <c r="G44" s="7">
        <v>4834</v>
      </c>
      <c r="H44" s="7">
        <v>18781</v>
      </c>
      <c r="I44" s="7">
        <v>12606</v>
      </c>
      <c r="J44" s="107">
        <f>IF($D$74="省エネ量計算",20417,14417)</f>
        <v>20417</v>
      </c>
      <c r="K44" s="107">
        <f t="shared" si="0"/>
        <v>6135</v>
      </c>
      <c r="L44" s="7">
        <v>21241</v>
      </c>
      <c r="M44" s="42">
        <f t="shared" si="1"/>
        <v>84</v>
      </c>
    </row>
    <row r="45" spans="2:13" x14ac:dyDescent="0.55000000000000004">
      <c r="B45" s="158"/>
      <c r="C45" s="137"/>
      <c r="D45" s="137"/>
      <c r="E45" s="40" t="s">
        <v>287</v>
      </c>
      <c r="F45" s="137"/>
      <c r="G45" s="7">
        <v>4834</v>
      </c>
      <c r="H45" s="52">
        <f>H44*$D$55</f>
        <v>13146.699999999999</v>
      </c>
      <c r="I45" s="52">
        <f>I44*$D$55</f>
        <v>8824.1999999999989</v>
      </c>
      <c r="J45" s="107">
        <f>IF($D$74="省エネ量計算",20417,14417)</f>
        <v>20417</v>
      </c>
      <c r="K45" s="107">
        <f t="shared" si="0"/>
        <v>6135</v>
      </c>
      <c r="L45" s="7">
        <v>21241</v>
      </c>
      <c r="M45" s="53">
        <f t="shared" si="1"/>
        <v>74.599999999999994</v>
      </c>
    </row>
    <row r="46" spans="2:13" x14ac:dyDescent="0.55000000000000004">
      <c r="B46" s="158"/>
      <c r="C46" s="137"/>
      <c r="D46" s="137"/>
      <c r="E46" s="40" t="s">
        <v>289</v>
      </c>
      <c r="F46" s="137" t="s">
        <v>296</v>
      </c>
      <c r="G46" s="7">
        <v>4834</v>
      </c>
      <c r="H46" s="7">
        <v>18781</v>
      </c>
      <c r="I46" s="7">
        <v>12606</v>
      </c>
      <c r="J46" s="7">
        <v>11346</v>
      </c>
      <c r="K46" s="107">
        <f t="shared" si="0"/>
        <v>6135</v>
      </c>
      <c r="L46" s="7">
        <v>21241</v>
      </c>
      <c r="M46" s="42">
        <f t="shared" si="1"/>
        <v>74.900000000000006</v>
      </c>
    </row>
    <row r="47" spans="2:13" x14ac:dyDescent="0.55000000000000004">
      <c r="B47" s="158"/>
      <c r="C47" s="137"/>
      <c r="D47" s="137"/>
      <c r="E47" s="40" t="s">
        <v>287</v>
      </c>
      <c r="F47" s="137"/>
      <c r="G47" s="7">
        <v>4834</v>
      </c>
      <c r="H47" s="52">
        <f>H46*$D$55</f>
        <v>13146.699999999999</v>
      </c>
      <c r="I47" s="52">
        <f>I46*$D$55</f>
        <v>8824.1999999999989</v>
      </c>
      <c r="J47" s="7">
        <v>11346</v>
      </c>
      <c r="K47" s="107">
        <f t="shared" si="0"/>
        <v>6135</v>
      </c>
      <c r="L47" s="7">
        <v>21241</v>
      </c>
      <c r="M47" s="53">
        <f t="shared" si="1"/>
        <v>65.5</v>
      </c>
    </row>
    <row r="49" spans="2:5" x14ac:dyDescent="0.55000000000000004">
      <c r="B49" s="4" t="s">
        <v>324</v>
      </c>
    </row>
    <row r="50" spans="2:5" x14ac:dyDescent="0.55000000000000004">
      <c r="B50" s="1" t="s">
        <v>327</v>
      </c>
    </row>
    <row r="51" spans="2:5" x14ac:dyDescent="0.55000000000000004">
      <c r="B51" s="1" t="s">
        <v>349</v>
      </c>
    </row>
    <row r="52" spans="2:5" x14ac:dyDescent="0.55000000000000004">
      <c r="B52" s="1" t="s">
        <v>328</v>
      </c>
    </row>
    <row r="53" spans="2:5" x14ac:dyDescent="0.55000000000000004">
      <c r="B53" s="1" t="s">
        <v>523</v>
      </c>
    </row>
    <row r="54" spans="2:5" x14ac:dyDescent="0.55000000000000004">
      <c r="B54" s="1" t="s">
        <v>348</v>
      </c>
    </row>
    <row r="55" spans="2:5" x14ac:dyDescent="0.55000000000000004">
      <c r="B55" s="51" t="s">
        <v>350</v>
      </c>
      <c r="D55" s="97">
        <v>0.7</v>
      </c>
      <c r="E55" s="5" t="s">
        <v>351</v>
      </c>
    </row>
    <row r="56" spans="2:5" x14ac:dyDescent="0.55000000000000004">
      <c r="B56" s="10" t="s">
        <v>352</v>
      </c>
      <c r="D56" s="14"/>
      <c r="E56" s="5"/>
    </row>
    <row r="57" spans="2:5" x14ac:dyDescent="0.55000000000000004">
      <c r="B57" s="10" t="s">
        <v>353</v>
      </c>
      <c r="D57" s="14"/>
    </row>
    <row r="58" spans="2:5" x14ac:dyDescent="0.55000000000000004">
      <c r="B58" s="10" t="s">
        <v>637</v>
      </c>
      <c r="D58" s="14"/>
    </row>
    <row r="59" spans="2:5" x14ac:dyDescent="0.55000000000000004">
      <c r="B59" s="10"/>
      <c r="D59" s="14"/>
    </row>
    <row r="60" spans="2:5" x14ac:dyDescent="0.55000000000000004">
      <c r="B60" s="4" t="s">
        <v>531</v>
      </c>
    </row>
    <row r="61" spans="2:5" x14ac:dyDescent="0.55000000000000004">
      <c r="B61" s="4" t="s">
        <v>533</v>
      </c>
    </row>
    <row r="62" spans="2:5" x14ac:dyDescent="0.55000000000000004">
      <c r="B62" s="1" t="s">
        <v>536</v>
      </c>
    </row>
    <row r="63" spans="2:5" x14ac:dyDescent="0.55000000000000004">
      <c r="B63" s="1" t="s">
        <v>532</v>
      </c>
    </row>
    <row r="64" spans="2:5" x14ac:dyDescent="0.55000000000000004">
      <c r="B64" s="1" t="s">
        <v>329</v>
      </c>
    </row>
    <row r="65" spans="2:6" x14ac:dyDescent="0.55000000000000004">
      <c r="B65" s="1" t="s">
        <v>537</v>
      </c>
    </row>
    <row r="66" spans="2:6" x14ac:dyDescent="0.55000000000000004">
      <c r="B66" s="1" t="s">
        <v>534</v>
      </c>
    </row>
    <row r="67" spans="2:6" x14ac:dyDescent="0.55000000000000004">
      <c r="B67" s="1" t="s">
        <v>535</v>
      </c>
    </row>
    <row r="68" spans="2:6" x14ac:dyDescent="0.55000000000000004">
      <c r="B68" s="4" t="s">
        <v>538</v>
      </c>
    </row>
    <row r="69" spans="2:6" x14ac:dyDescent="0.55000000000000004">
      <c r="B69" s="2" t="s">
        <v>539</v>
      </c>
    </row>
    <row r="70" spans="2:6" x14ac:dyDescent="0.55000000000000004">
      <c r="B70" s="2" t="s">
        <v>540</v>
      </c>
    </row>
    <row r="71" spans="2:6" x14ac:dyDescent="0.55000000000000004">
      <c r="B71" s="2" t="s">
        <v>541</v>
      </c>
    </row>
    <row r="72" spans="2:6" x14ac:dyDescent="0.55000000000000004">
      <c r="B72" s="1" t="s">
        <v>542</v>
      </c>
    </row>
    <row r="73" spans="2:6" x14ac:dyDescent="0.55000000000000004">
      <c r="B73" s="1" t="s">
        <v>543</v>
      </c>
    </row>
    <row r="74" spans="2:6" x14ac:dyDescent="0.55000000000000004">
      <c r="B74" s="106" t="s">
        <v>545</v>
      </c>
      <c r="D74" s="153" t="s">
        <v>546</v>
      </c>
      <c r="E74" s="153"/>
      <c r="F74" s="5" t="s">
        <v>548</v>
      </c>
    </row>
    <row r="77" spans="2:6" hidden="1" x14ac:dyDescent="0.55000000000000004">
      <c r="D77" s="1" t="s">
        <v>546</v>
      </c>
    </row>
    <row r="78" spans="2:6" hidden="1" x14ac:dyDescent="0.55000000000000004">
      <c r="D78" s="1" t="s">
        <v>547</v>
      </c>
    </row>
  </sheetData>
  <sheetProtection algorithmName="SHA-512" hashValue="Nu7A5UefznsBQBubKu6y4cYatZGiMeWZPSPvY2uDFyi+LrwunTOp4Sq4U06vx4BE/VsuzivRA7kACAFNs3vCEg==" saltValue="s8b0AXTBD0qbxHRR6jG01Q==" spinCount="100000" sheet="1" objects="1" scenarios="1"/>
  <mergeCells count="45">
    <mergeCell ref="F26:F27"/>
    <mergeCell ref="F14:F15"/>
    <mergeCell ref="F16:F17"/>
    <mergeCell ref="F24:F25"/>
    <mergeCell ref="F34:F35"/>
    <mergeCell ref="F36:F37"/>
    <mergeCell ref="F44:F45"/>
    <mergeCell ref="F46:F47"/>
    <mergeCell ref="D38:D39"/>
    <mergeCell ref="D40:D41"/>
    <mergeCell ref="E38:E41"/>
    <mergeCell ref="C38:C41"/>
    <mergeCell ref="C42:C47"/>
    <mergeCell ref="E28:E31"/>
    <mergeCell ref="B18:B27"/>
    <mergeCell ref="B28:B37"/>
    <mergeCell ref="E18:E21"/>
    <mergeCell ref="D24:D27"/>
    <mergeCell ref="E22:E23"/>
    <mergeCell ref="D34:D37"/>
    <mergeCell ref="E32:E33"/>
    <mergeCell ref="D42:D43"/>
    <mergeCell ref="D44:D47"/>
    <mergeCell ref="E42:E43"/>
    <mergeCell ref="C32:C37"/>
    <mergeCell ref="D32:D33"/>
    <mergeCell ref="C28:C31"/>
    <mergeCell ref="D28:D29"/>
    <mergeCell ref="D30:D31"/>
    <mergeCell ref="D74:E74"/>
    <mergeCell ref="B8:B17"/>
    <mergeCell ref="C8:C11"/>
    <mergeCell ref="C12:C17"/>
    <mergeCell ref="E8:E11"/>
    <mergeCell ref="D8:D9"/>
    <mergeCell ref="D10:D11"/>
    <mergeCell ref="D12:D13"/>
    <mergeCell ref="D14:D17"/>
    <mergeCell ref="E12:E13"/>
    <mergeCell ref="B38:B47"/>
    <mergeCell ref="C18:C21"/>
    <mergeCell ref="C22:C27"/>
    <mergeCell ref="D22:D23"/>
    <mergeCell ref="D18:D19"/>
    <mergeCell ref="D20:D21"/>
  </mergeCells>
  <phoneticPr fontId="1"/>
  <dataValidations count="1">
    <dataValidation type="list" allowBlank="1" showInputMessage="1" showErrorMessage="1" sqref="D74" xr:uid="{8048AE66-FBB4-4FBD-8766-CCAB0467E2F5}">
      <formula1>$D$77:$D$78</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DD8D7-71B5-4F64-9D3A-DF4E410581C4}">
  <dimension ref="A1:R208"/>
  <sheetViews>
    <sheetView topLeftCell="A67" zoomScaleNormal="100" workbookViewId="0">
      <selection activeCell="L74" sqref="L74"/>
    </sheetView>
  </sheetViews>
  <sheetFormatPr defaultColWidth="8.58203125" defaultRowHeight="15" x14ac:dyDescent="0.55000000000000004"/>
  <cols>
    <col min="1" max="16384" width="8.58203125" style="1"/>
  </cols>
  <sheetData>
    <row r="1" spans="1:17" ht="22.5" x14ac:dyDescent="0.55000000000000004">
      <c r="A1" s="70" t="s">
        <v>382</v>
      </c>
    </row>
    <row r="3" spans="1:17" ht="20" x14ac:dyDescent="0.55000000000000004">
      <c r="A3" s="71" t="s">
        <v>797</v>
      </c>
    </row>
    <row r="4" spans="1:17" x14ac:dyDescent="0.55000000000000004">
      <c r="B4" s="1" t="s">
        <v>381</v>
      </c>
    </row>
    <row r="5" spans="1:17" x14ac:dyDescent="0.55000000000000004">
      <c r="B5" s="1" t="s">
        <v>384</v>
      </c>
    </row>
    <row r="6" spans="1:17" x14ac:dyDescent="0.55000000000000004">
      <c r="B6" s="1" t="s">
        <v>385</v>
      </c>
      <c r="F6" s="23"/>
      <c r="G6" s="23"/>
      <c r="H6" s="23"/>
      <c r="I6" s="23"/>
      <c r="J6" s="23"/>
      <c r="K6" s="14"/>
      <c r="L6" s="14"/>
      <c r="M6" s="14"/>
      <c r="N6" s="14"/>
      <c r="O6" s="14"/>
      <c r="P6" s="14"/>
      <c r="Q6" s="14"/>
    </row>
    <row r="7" spans="1:17" x14ac:dyDescent="0.55000000000000004">
      <c r="B7" s="137" t="s">
        <v>196</v>
      </c>
      <c r="C7" s="137"/>
      <c r="D7" s="137"/>
      <c r="E7" s="7">
        <v>1</v>
      </c>
      <c r="F7" s="7">
        <v>0.9</v>
      </c>
      <c r="G7" s="7">
        <v>0.85</v>
      </c>
      <c r="H7" s="7">
        <v>0.8</v>
      </c>
      <c r="I7" s="7">
        <v>0.75</v>
      </c>
      <c r="J7" s="7">
        <v>0.7</v>
      </c>
    </row>
    <row r="8" spans="1:17" x14ac:dyDescent="0.55000000000000004">
      <c r="B8" s="137" t="s">
        <v>322</v>
      </c>
      <c r="C8" s="137"/>
      <c r="D8" s="137"/>
      <c r="E8" s="7">
        <v>62.8</v>
      </c>
      <c r="F8" s="7">
        <v>58.2</v>
      </c>
      <c r="G8" s="7">
        <v>55.9</v>
      </c>
      <c r="H8" s="7">
        <v>53.5</v>
      </c>
      <c r="I8" s="7">
        <v>51.2</v>
      </c>
      <c r="J8" s="7">
        <v>48.9</v>
      </c>
    </row>
    <row r="9" spans="1:17" x14ac:dyDescent="0.55000000000000004">
      <c r="B9" s="36" t="s">
        <v>386</v>
      </c>
      <c r="C9" s="33"/>
      <c r="D9" s="33"/>
      <c r="E9" s="63"/>
      <c r="F9" s="63"/>
      <c r="G9" s="63"/>
      <c r="H9" s="63"/>
      <c r="I9" s="63"/>
      <c r="J9" s="63"/>
    </row>
    <row r="10" spans="1:17" ht="15.5" thickBot="1" x14ac:dyDescent="0.6">
      <c r="B10" s="36"/>
      <c r="C10" s="33"/>
      <c r="D10" s="33"/>
      <c r="E10" s="63"/>
      <c r="F10" s="63"/>
      <c r="G10" s="63"/>
      <c r="H10" s="63"/>
      <c r="I10" s="63"/>
      <c r="J10" s="63"/>
    </row>
    <row r="11" spans="1:17" ht="16" thickTop="1" thickBot="1" x14ac:dyDescent="0.6">
      <c r="B11" s="139" t="s">
        <v>387</v>
      </c>
      <c r="C11" s="140"/>
      <c r="D11" s="140"/>
      <c r="E11" s="140"/>
      <c r="F11" s="140"/>
      <c r="G11" s="141"/>
      <c r="H11" s="63"/>
      <c r="I11" s="63"/>
      <c r="J11" s="63"/>
    </row>
    <row r="12" spans="1:17" ht="15.5" thickTop="1" x14ac:dyDescent="0.55000000000000004">
      <c r="B12" s="65"/>
      <c r="C12" s="65"/>
      <c r="D12" s="65"/>
      <c r="E12" s="65"/>
      <c r="F12" s="65"/>
      <c r="G12" s="65"/>
      <c r="H12" s="63"/>
      <c r="I12" s="63"/>
      <c r="J12" s="63"/>
    </row>
    <row r="13" spans="1:17" x14ac:dyDescent="0.55000000000000004">
      <c r="B13" s="137" t="s">
        <v>196</v>
      </c>
      <c r="C13" s="137"/>
      <c r="D13" s="137"/>
      <c r="E13" s="7">
        <v>1</v>
      </c>
      <c r="F13" s="7">
        <v>0.9</v>
      </c>
      <c r="G13" s="7">
        <v>0.85</v>
      </c>
      <c r="H13" s="7">
        <v>0.8</v>
      </c>
      <c r="I13" s="7">
        <v>0.75</v>
      </c>
      <c r="J13" s="7">
        <v>0.7</v>
      </c>
    </row>
    <row r="14" spans="1:17" x14ac:dyDescent="0.55000000000000004">
      <c r="B14" s="137" t="s">
        <v>322</v>
      </c>
      <c r="C14" s="137"/>
      <c r="D14" s="137"/>
      <c r="E14" s="7">
        <v>62.8</v>
      </c>
      <c r="F14" s="7">
        <v>58.2</v>
      </c>
      <c r="G14" s="7">
        <v>55.9</v>
      </c>
      <c r="H14" s="7">
        <v>53.5</v>
      </c>
      <c r="I14" s="7">
        <v>51.2</v>
      </c>
      <c r="J14" s="7">
        <v>48.9</v>
      </c>
    </row>
    <row r="15" spans="1:17" x14ac:dyDescent="0.55000000000000004">
      <c r="B15" s="145" t="s">
        <v>77</v>
      </c>
      <c r="C15" s="145"/>
      <c r="D15" s="145"/>
      <c r="E15" s="97">
        <v>17</v>
      </c>
      <c r="F15" s="97">
        <v>5.4</v>
      </c>
      <c r="G15" s="97">
        <v>22.4</v>
      </c>
      <c r="H15" s="97">
        <v>32.9</v>
      </c>
      <c r="I15" s="97">
        <v>11.2</v>
      </c>
      <c r="J15" s="97">
        <v>11.2</v>
      </c>
      <c r="K15" s="49">
        <f>SUM(E15:J15)</f>
        <v>100.1</v>
      </c>
      <c r="L15" s="8" t="s">
        <v>344</v>
      </c>
    </row>
    <row r="16" spans="1:17" x14ac:dyDescent="0.55000000000000004">
      <c r="B16" s="155" t="s">
        <v>343</v>
      </c>
      <c r="C16" s="159"/>
      <c r="D16" s="156"/>
      <c r="E16" s="48">
        <v>17</v>
      </c>
      <c r="F16" s="48">
        <v>5.4</v>
      </c>
      <c r="G16" s="48">
        <v>22.4</v>
      </c>
      <c r="H16" s="48">
        <v>32.9</v>
      </c>
      <c r="I16" s="48">
        <v>11.2</v>
      </c>
      <c r="J16" s="48">
        <v>11.2</v>
      </c>
      <c r="K16" s="8" t="s">
        <v>893</v>
      </c>
      <c r="L16" s="8"/>
    </row>
    <row r="17" spans="1:17" x14ac:dyDescent="0.55000000000000004">
      <c r="B17" s="145" t="s">
        <v>78</v>
      </c>
      <c r="C17" s="145"/>
      <c r="D17" s="145"/>
      <c r="E17" s="97">
        <v>0</v>
      </c>
      <c r="F17" s="97">
        <v>0</v>
      </c>
      <c r="G17" s="97">
        <v>0</v>
      </c>
      <c r="H17" s="97">
        <v>60</v>
      </c>
      <c r="I17" s="97">
        <v>20</v>
      </c>
      <c r="J17" s="97">
        <v>20</v>
      </c>
      <c r="K17" s="49">
        <f>SUM(E17:J17)</f>
        <v>100</v>
      </c>
      <c r="L17" s="8" t="s">
        <v>344</v>
      </c>
    </row>
    <row r="18" spans="1:17" x14ac:dyDescent="0.55000000000000004">
      <c r="B18" s="155" t="s">
        <v>343</v>
      </c>
      <c r="C18" s="159"/>
      <c r="D18" s="156"/>
      <c r="E18" s="48">
        <v>0</v>
      </c>
      <c r="F18" s="48">
        <v>0</v>
      </c>
      <c r="G18" s="48">
        <v>0</v>
      </c>
      <c r="H18" s="48">
        <v>60</v>
      </c>
      <c r="I18" s="48">
        <v>20</v>
      </c>
      <c r="J18" s="48">
        <v>20</v>
      </c>
      <c r="K18" s="8"/>
    </row>
    <row r="19" spans="1:17" ht="15.5" thickBot="1" x14ac:dyDescent="0.6">
      <c r="A19" s="4"/>
    </row>
    <row r="20" spans="1:17" ht="16" thickTop="1" thickBot="1" x14ac:dyDescent="0.6">
      <c r="A20" s="4"/>
      <c r="B20" s="142" t="s">
        <v>388</v>
      </c>
      <c r="C20" s="143"/>
      <c r="D20" s="143"/>
      <c r="E20" s="143"/>
      <c r="F20" s="143"/>
      <c r="G20" s="144"/>
    </row>
    <row r="21" spans="1:17" ht="15.5" thickTop="1" x14ac:dyDescent="0.55000000000000004">
      <c r="C21" s="64" t="s">
        <v>379</v>
      </c>
      <c r="F21" s="13"/>
      <c r="G21" s="13"/>
      <c r="H21" s="13"/>
      <c r="I21" s="13"/>
      <c r="J21" s="13"/>
    </row>
    <row r="22" spans="1:17" x14ac:dyDescent="0.55000000000000004">
      <c r="F22" s="4"/>
      <c r="G22" s="4"/>
      <c r="H22" s="4"/>
      <c r="I22" s="4"/>
      <c r="J22" s="4"/>
    </row>
    <row r="23" spans="1:17" x14ac:dyDescent="0.55000000000000004">
      <c r="F23" s="59" t="s">
        <v>362</v>
      </c>
      <c r="G23" s="59" t="s">
        <v>363</v>
      </c>
      <c r="H23" s="59" t="s">
        <v>395</v>
      </c>
      <c r="I23" s="10"/>
      <c r="J23" s="10"/>
    </row>
    <row r="24" spans="1:17" x14ac:dyDescent="0.55000000000000004">
      <c r="C24" s="145" t="s">
        <v>358</v>
      </c>
      <c r="D24" s="145"/>
      <c r="E24" s="145"/>
      <c r="F24" s="68">
        <f>戸建ての計算!F59</f>
        <v>165</v>
      </c>
      <c r="G24" s="55">
        <f>ROUND(R141,1)</f>
        <v>88.5</v>
      </c>
      <c r="H24" s="41">
        <f>SUM(F24:G24)</f>
        <v>253.5</v>
      </c>
      <c r="I24" s="1" t="s">
        <v>211</v>
      </c>
      <c r="J24" s="23"/>
      <c r="K24" s="14"/>
      <c r="L24" s="14"/>
      <c r="M24" s="14"/>
      <c r="N24" s="14"/>
      <c r="O24" s="14"/>
      <c r="P24" s="14"/>
      <c r="Q24" s="14"/>
    </row>
    <row r="25" spans="1:17" x14ac:dyDescent="0.55000000000000004">
      <c r="C25" s="145" t="s">
        <v>360</v>
      </c>
      <c r="D25" s="145"/>
      <c r="E25" s="145"/>
      <c r="F25" s="68">
        <f>戸建ての計算!F60</f>
        <v>165</v>
      </c>
      <c r="G25" s="44">
        <f>ROUND(P141,1)</f>
        <v>88.5</v>
      </c>
      <c r="H25" s="41">
        <f t="shared" ref="H25:H26" si="0">SUM(F25:G25)</f>
        <v>253.5</v>
      </c>
      <c r="I25" s="1" t="s">
        <v>211</v>
      </c>
      <c r="J25" s="23"/>
      <c r="K25" s="14"/>
      <c r="L25" s="14"/>
      <c r="M25" s="14"/>
      <c r="N25" s="14"/>
      <c r="O25" s="14"/>
      <c r="P25" s="14"/>
      <c r="Q25" s="14"/>
    </row>
    <row r="26" spans="1:17" x14ac:dyDescent="0.55000000000000004">
      <c r="C26" s="150" t="s">
        <v>361</v>
      </c>
      <c r="D26" s="151"/>
      <c r="E26" s="152"/>
      <c r="F26" s="68">
        <f>戸建ての計算!F61</f>
        <v>0</v>
      </c>
      <c r="G26" s="56">
        <f>G25-G24</f>
        <v>0</v>
      </c>
      <c r="H26" s="41">
        <f t="shared" si="0"/>
        <v>0</v>
      </c>
      <c r="I26" s="1" t="s">
        <v>211</v>
      </c>
      <c r="J26" s="13"/>
    </row>
    <row r="27" spans="1:17" x14ac:dyDescent="0.55000000000000004">
      <c r="F27" s="57" t="s">
        <v>389</v>
      </c>
      <c r="H27" s="23"/>
    </row>
    <row r="28" spans="1:17" x14ac:dyDescent="0.55000000000000004">
      <c r="F28" s="57"/>
      <c r="H28" s="23"/>
    </row>
    <row r="29" spans="1:17" ht="20" x14ac:dyDescent="0.55000000000000004">
      <c r="A29" s="71" t="s">
        <v>798</v>
      </c>
      <c r="F29" s="57"/>
      <c r="H29" s="23"/>
    </row>
    <row r="30" spans="1:17" x14ac:dyDescent="0.55000000000000004">
      <c r="F30" s="57"/>
      <c r="H30" s="23"/>
    </row>
    <row r="31" spans="1:17" x14ac:dyDescent="0.55000000000000004">
      <c r="A31" s="4"/>
      <c r="B31" s="145" t="s">
        <v>115</v>
      </c>
      <c r="C31" s="145"/>
      <c r="D31" s="145"/>
      <c r="E31" s="97">
        <v>25</v>
      </c>
      <c r="F31" s="1" t="s">
        <v>47</v>
      </c>
      <c r="G31" s="8" t="s">
        <v>391</v>
      </c>
    </row>
    <row r="33" spans="1:17" x14ac:dyDescent="0.55000000000000004">
      <c r="B33" s="137" t="s">
        <v>116</v>
      </c>
      <c r="C33" s="154" t="s">
        <v>123</v>
      </c>
      <c r="D33" s="154"/>
      <c r="E33" s="154"/>
      <c r="F33" s="154"/>
      <c r="H33" s="23"/>
    </row>
    <row r="34" spans="1:17" x14ac:dyDescent="0.55000000000000004">
      <c r="B34" s="137"/>
      <c r="C34" s="154" t="s">
        <v>117</v>
      </c>
      <c r="D34" s="154"/>
      <c r="E34" s="154"/>
      <c r="F34" s="154"/>
      <c r="H34" s="23"/>
    </row>
    <row r="35" spans="1:17" x14ac:dyDescent="0.55000000000000004">
      <c r="B35" s="58" t="s">
        <v>124</v>
      </c>
      <c r="C35" s="132" t="s">
        <v>488</v>
      </c>
      <c r="D35" s="8" t="s">
        <v>369</v>
      </c>
      <c r="E35" s="14"/>
      <c r="H35" s="23"/>
    </row>
    <row r="37" spans="1:17" x14ac:dyDescent="0.55000000000000004">
      <c r="B37" s="7"/>
      <c r="C37" s="7"/>
      <c r="D37" s="7" t="s">
        <v>41</v>
      </c>
      <c r="E37" s="7" t="s">
        <v>27</v>
      </c>
      <c r="F37" s="7" t="s">
        <v>28</v>
      </c>
    </row>
    <row r="38" spans="1:17" x14ac:dyDescent="0.55000000000000004">
      <c r="B38" s="7" t="s">
        <v>118</v>
      </c>
      <c r="C38" s="41" t="s">
        <v>120</v>
      </c>
      <c r="D38" s="97">
        <v>0</v>
      </c>
      <c r="E38" s="97">
        <v>1</v>
      </c>
      <c r="F38" s="97">
        <v>1.6330799999999999E-2</v>
      </c>
      <c r="G38" s="4"/>
      <c r="H38" s="4"/>
      <c r="I38" s="4"/>
      <c r="J38" s="4"/>
    </row>
    <row r="39" spans="1:17" x14ac:dyDescent="0.55000000000000004">
      <c r="B39" s="155" t="s">
        <v>392</v>
      </c>
      <c r="C39" s="156"/>
      <c r="D39" s="68">
        <v>0</v>
      </c>
      <c r="E39" s="68">
        <v>1</v>
      </c>
      <c r="F39" s="68">
        <v>1.6330785267550819E-2</v>
      </c>
      <c r="G39" s="4"/>
      <c r="H39" s="4"/>
      <c r="I39" s="4"/>
      <c r="J39" s="4"/>
    </row>
    <row r="40" spans="1:17" x14ac:dyDescent="0.55000000000000004">
      <c r="B40" s="7" t="s">
        <v>122</v>
      </c>
      <c r="C40" s="41" t="s">
        <v>120</v>
      </c>
      <c r="D40" s="97">
        <v>0</v>
      </c>
      <c r="E40" s="97">
        <v>1</v>
      </c>
      <c r="F40" s="97">
        <v>1.6330799999999999E-2</v>
      </c>
      <c r="G40" s="10"/>
      <c r="H40" s="10"/>
      <c r="I40" s="10"/>
      <c r="J40" s="10"/>
    </row>
    <row r="41" spans="1:17" ht="15.5" thickBot="1" x14ac:dyDescent="0.6">
      <c r="F41" s="23"/>
      <c r="G41" s="23"/>
      <c r="H41" s="23"/>
      <c r="I41" s="23"/>
      <c r="J41" s="23"/>
      <c r="K41" s="14"/>
      <c r="L41" s="14"/>
      <c r="M41" s="14"/>
      <c r="N41" s="14"/>
      <c r="O41" s="14"/>
      <c r="P41" s="14"/>
      <c r="Q41" s="14"/>
    </row>
    <row r="42" spans="1:17" ht="16" thickTop="1" thickBot="1" x14ac:dyDescent="0.6">
      <c r="A42" s="4"/>
      <c r="B42" s="142" t="s">
        <v>394</v>
      </c>
      <c r="C42" s="143"/>
      <c r="D42" s="143"/>
      <c r="E42" s="143"/>
      <c r="F42" s="143"/>
      <c r="G42" s="144"/>
    </row>
    <row r="43" spans="1:17" ht="15.5" thickTop="1" x14ac:dyDescent="0.55000000000000004">
      <c r="C43" s="64" t="s">
        <v>379</v>
      </c>
      <c r="F43" s="13"/>
      <c r="G43" s="13"/>
      <c r="H43" s="13"/>
      <c r="I43" s="13"/>
      <c r="J43" s="13"/>
    </row>
    <row r="44" spans="1:17" x14ac:dyDescent="0.55000000000000004">
      <c r="F44" s="4"/>
      <c r="G44" s="4"/>
      <c r="H44" s="4"/>
      <c r="I44" s="4"/>
      <c r="J44" s="4"/>
    </row>
    <row r="45" spans="1:17" x14ac:dyDescent="0.55000000000000004">
      <c r="F45" s="59" t="s">
        <v>372</v>
      </c>
      <c r="G45" s="59" t="s">
        <v>373</v>
      </c>
      <c r="H45" s="59" t="s">
        <v>395</v>
      </c>
      <c r="I45" s="10"/>
      <c r="J45" s="10"/>
    </row>
    <row r="46" spans="1:17" x14ac:dyDescent="0.55000000000000004">
      <c r="C46" s="145" t="s">
        <v>358</v>
      </c>
      <c r="D46" s="145"/>
      <c r="E46" s="145"/>
      <c r="F46" s="66">
        <f>戸建ての計算!F84</f>
        <v>89.3</v>
      </c>
      <c r="G46" s="55">
        <f>ROUND(R171,1)</f>
        <v>1.7</v>
      </c>
      <c r="H46" s="41">
        <f>SUM(F46:G46)</f>
        <v>91</v>
      </c>
      <c r="I46" s="1" t="s">
        <v>211</v>
      </c>
      <c r="J46" s="23"/>
      <c r="K46" s="14"/>
      <c r="L46" s="14"/>
      <c r="M46" s="14"/>
      <c r="N46" s="14"/>
      <c r="O46" s="14"/>
      <c r="P46" s="14"/>
      <c r="Q46" s="14"/>
    </row>
    <row r="47" spans="1:17" x14ac:dyDescent="0.55000000000000004">
      <c r="C47" s="145" t="s">
        <v>360</v>
      </c>
      <c r="D47" s="145"/>
      <c r="E47" s="145"/>
      <c r="F47" s="66">
        <f>戸建ての計算!F85</f>
        <v>89.3</v>
      </c>
      <c r="G47" s="44">
        <f>ROUND(P171,1)</f>
        <v>1.7</v>
      </c>
      <c r="H47" s="41">
        <f t="shared" ref="H47:H48" si="1">SUM(F47:G47)</f>
        <v>91</v>
      </c>
      <c r="I47" s="1" t="s">
        <v>211</v>
      </c>
      <c r="J47" s="23"/>
      <c r="K47" s="14"/>
      <c r="L47" s="14"/>
      <c r="M47" s="14"/>
      <c r="N47" s="14"/>
      <c r="O47" s="14"/>
      <c r="P47" s="14"/>
      <c r="Q47" s="14"/>
    </row>
    <row r="48" spans="1:17" x14ac:dyDescent="0.55000000000000004">
      <c r="C48" s="150" t="s">
        <v>361</v>
      </c>
      <c r="D48" s="151"/>
      <c r="E48" s="152"/>
      <c r="F48" s="66">
        <f>戸建ての計算!F86</f>
        <v>0</v>
      </c>
      <c r="G48" s="56">
        <f>G47-G46</f>
        <v>0</v>
      </c>
      <c r="H48" s="41">
        <f t="shared" si="1"/>
        <v>0</v>
      </c>
      <c r="I48" s="1" t="s">
        <v>211</v>
      </c>
      <c r="J48" s="13"/>
    </row>
    <row r="49" spans="1:15" x14ac:dyDescent="0.55000000000000004">
      <c r="F49" s="57" t="s">
        <v>393</v>
      </c>
      <c r="H49" s="23"/>
    </row>
    <row r="50" spans="1:15" x14ac:dyDescent="0.55000000000000004">
      <c r="F50" s="13"/>
      <c r="G50" s="13"/>
      <c r="H50" s="13"/>
      <c r="I50" s="13"/>
      <c r="J50" s="13"/>
    </row>
    <row r="51" spans="1:15" ht="20" x14ac:dyDescent="0.55000000000000004">
      <c r="A51" s="71" t="s">
        <v>689</v>
      </c>
    </row>
    <row r="52" spans="1:15" ht="15.5" thickBot="1" x14ac:dyDescent="0.6">
      <c r="B52" s="1" t="s">
        <v>690</v>
      </c>
    </row>
    <row r="53" spans="1:15" ht="16" thickTop="1" thickBot="1" x14ac:dyDescent="0.6">
      <c r="B53" s="142" t="s">
        <v>848</v>
      </c>
      <c r="C53" s="143"/>
      <c r="D53" s="143"/>
      <c r="E53" s="143"/>
      <c r="F53" s="143"/>
      <c r="G53" s="144"/>
    </row>
    <row r="54" spans="1:15" ht="15.5" thickTop="1" x14ac:dyDescent="0.55000000000000004"/>
    <row r="55" spans="1:15" x14ac:dyDescent="0.55000000000000004">
      <c r="B55" s="145"/>
      <c r="C55" s="145"/>
      <c r="D55" s="145"/>
      <c r="E55" s="41" t="s">
        <v>41</v>
      </c>
      <c r="F55" s="41" t="s">
        <v>27</v>
      </c>
      <c r="G55" s="41" t="s">
        <v>28</v>
      </c>
      <c r="H55" s="41" t="s">
        <v>29</v>
      </c>
      <c r="I55" s="41" t="s">
        <v>30</v>
      </c>
      <c r="J55" s="41" t="s">
        <v>39</v>
      </c>
      <c r="K55" s="41" t="s">
        <v>31</v>
      </c>
      <c r="L55" s="41" t="s">
        <v>32</v>
      </c>
      <c r="M55" s="120" t="s">
        <v>33</v>
      </c>
      <c r="N55" s="41" t="s">
        <v>43</v>
      </c>
      <c r="O55" s="84"/>
    </row>
    <row r="56" spans="1:15" x14ac:dyDescent="0.55000000000000004">
      <c r="B56" s="145" t="s">
        <v>576</v>
      </c>
      <c r="C56" s="145"/>
      <c r="D56" s="145"/>
      <c r="E56" s="4">
        <f>F163</f>
        <v>82</v>
      </c>
      <c r="F56" s="4">
        <f t="shared" ref="F56:N56" si="2">G163</f>
        <v>75.400000000000006</v>
      </c>
      <c r="G56" s="4">
        <f t="shared" si="2"/>
        <v>68.8</v>
      </c>
      <c r="H56" s="4">
        <f t="shared" si="2"/>
        <v>62.8</v>
      </c>
      <c r="I56" s="4">
        <f t="shared" si="2"/>
        <v>62.8</v>
      </c>
      <c r="J56" s="4">
        <f t="shared" si="2"/>
        <v>58.2</v>
      </c>
      <c r="K56" s="4">
        <f t="shared" si="2"/>
        <v>55.9</v>
      </c>
      <c r="L56" s="4">
        <f t="shared" si="2"/>
        <v>53.5</v>
      </c>
      <c r="M56" s="4">
        <f t="shared" si="2"/>
        <v>51.2</v>
      </c>
      <c r="N56" s="41">
        <f t="shared" si="2"/>
        <v>48.9</v>
      </c>
      <c r="O56" s="63"/>
    </row>
    <row r="57" spans="1:15" x14ac:dyDescent="0.55000000000000004">
      <c r="B57" s="145" t="s">
        <v>577</v>
      </c>
      <c r="C57" s="145"/>
      <c r="D57" s="145"/>
      <c r="E57" s="41">
        <f t="shared" ref="E57:N57" si="3">ROUND(D186,1)</f>
        <v>204.2</v>
      </c>
      <c r="F57" s="41">
        <f t="shared" si="3"/>
        <v>859</v>
      </c>
      <c r="G57" s="41">
        <f t="shared" si="3"/>
        <v>544.29999999999995</v>
      </c>
      <c r="H57" s="41">
        <f t="shared" si="3"/>
        <v>95</v>
      </c>
      <c r="I57" s="41">
        <f t="shared" si="3"/>
        <v>144.9</v>
      </c>
      <c r="J57" s="41">
        <f t="shared" si="3"/>
        <v>42.9</v>
      </c>
      <c r="K57" s="41">
        <f t="shared" si="3"/>
        <v>160.30000000000001</v>
      </c>
      <c r="L57" s="41">
        <f t="shared" si="3"/>
        <v>285.7</v>
      </c>
      <c r="M57" s="120">
        <f t="shared" si="3"/>
        <v>96.9</v>
      </c>
      <c r="N57" s="41">
        <f t="shared" si="3"/>
        <v>96.8</v>
      </c>
      <c r="O57" s="84"/>
    </row>
    <row r="58" spans="1:15" x14ac:dyDescent="0.55000000000000004">
      <c r="B58" s="145" t="s">
        <v>578</v>
      </c>
      <c r="C58" s="145"/>
      <c r="D58" s="145"/>
      <c r="E58" s="41">
        <f>ROUND(D187,0)</f>
        <v>16741</v>
      </c>
      <c r="F58" s="41">
        <f t="shared" ref="F58:N58" si="4">ROUND(E187,0)</f>
        <v>64767</v>
      </c>
      <c r="G58" s="41">
        <f t="shared" si="4"/>
        <v>37449</v>
      </c>
      <c r="H58" s="41">
        <f t="shared" si="4"/>
        <v>5966</v>
      </c>
      <c r="I58" s="41">
        <f t="shared" si="4"/>
        <v>9100</v>
      </c>
      <c r="J58" s="41">
        <f t="shared" si="4"/>
        <v>2497</v>
      </c>
      <c r="K58" s="41">
        <f t="shared" si="4"/>
        <v>8962</v>
      </c>
      <c r="L58" s="41">
        <f t="shared" si="4"/>
        <v>15286</v>
      </c>
      <c r="M58" s="41">
        <f t="shared" si="4"/>
        <v>4961</v>
      </c>
      <c r="N58" s="41">
        <f t="shared" si="4"/>
        <v>4733</v>
      </c>
      <c r="O58" s="84"/>
    </row>
    <row r="60" spans="1:15" x14ac:dyDescent="0.55000000000000004">
      <c r="B60" s="137" t="s">
        <v>688</v>
      </c>
      <c r="C60" s="137"/>
      <c r="D60" s="137"/>
      <c r="E60" s="137"/>
      <c r="F60" s="7">
        <f>ROUND(SIM用基本データ!Q173/10000,1)</f>
        <v>16.5</v>
      </c>
      <c r="G60" s="1" t="s">
        <v>579</v>
      </c>
    </row>
    <row r="61" spans="1:15" x14ac:dyDescent="0.55000000000000004">
      <c r="B61" s="145" t="s">
        <v>580</v>
      </c>
      <c r="C61" s="145"/>
      <c r="D61" s="145"/>
      <c r="E61" s="145"/>
      <c r="F61" s="44">
        <f>ROUND(O187/10000,1)</f>
        <v>17</v>
      </c>
      <c r="G61" s="1" t="s">
        <v>579</v>
      </c>
      <c r="H61" s="8" t="s">
        <v>700</v>
      </c>
    </row>
    <row r="63" spans="1:15" ht="20" x14ac:dyDescent="0.55000000000000004">
      <c r="A63" s="71" t="s">
        <v>701</v>
      </c>
      <c r="F63" s="4"/>
      <c r="G63" s="4"/>
      <c r="H63" s="4"/>
      <c r="I63" s="4"/>
      <c r="J63" s="4"/>
    </row>
    <row r="64" spans="1:15" x14ac:dyDescent="0.55000000000000004">
      <c r="B64" s="1" t="s">
        <v>703</v>
      </c>
    </row>
    <row r="65" spans="2:7" ht="15.5" thickBot="1" x14ac:dyDescent="0.6"/>
    <row r="66" spans="2:7" ht="16" thickTop="1" thickBot="1" x14ac:dyDescent="0.6">
      <c r="B66" s="139" t="s">
        <v>639</v>
      </c>
      <c r="C66" s="140"/>
      <c r="D66" s="140"/>
      <c r="E66" s="140"/>
      <c r="F66" s="140"/>
      <c r="G66" s="141"/>
    </row>
    <row r="67" spans="2:7" ht="15.5" thickTop="1" x14ac:dyDescent="0.55000000000000004">
      <c r="B67" s="1" t="s">
        <v>704</v>
      </c>
    </row>
    <row r="68" spans="2:7" x14ac:dyDescent="0.55000000000000004">
      <c r="B68" s="4" t="s">
        <v>705</v>
      </c>
    </row>
    <row r="69" spans="2:7" x14ac:dyDescent="0.55000000000000004">
      <c r="B69" s="1" t="s">
        <v>620</v>
      </c>
    </row>
    <row r="70" spans="2:7" x14ac:dyDescent="0.55000000000000004">
      <c r="B70" s="4" t="s">
        <v>706</v>
      </c>
    </row>
    <row r="71" spans="2:7" x14ac:dyDescent="0.55000000000000004">
      <c r="B71" s="1" t="s">
        <v>640</v>
      </c>
    </row>
    <row r="72" spans="2:7" x14ac:dyDescent="0.55000000000000004">
      <c r="B72" s="126" t="s">
        <v>895</v>
      </c>
      <c r="C72" s="126" t="s">
        <v>896</v>
      </c>
      <c r="D72" s="8" t="s">
        <v>461</v>
      </c>
    </row>
    <row r="73" spans="2:7" x14ac:dyDescent="0.55000000000000004">
      <c r="B73" s="97">
        <v>90</v>
      </c>
      <c r="C73" s="97">
        <v>10</v>
      </c>
      <c r="D73" s="49">
        <f>SUM(B73:C73)</f>
        <v>100</v>
      </c>
    </row>
    <row r="74" spans="2:7" ht="15.5" thickBot="1" x14ac:dyDescent="0.6"/>
    <row r="75" spans="2:7" ht="16" thickTop="1" thickBot="1" x14ac:dyDescent="0.6">
      <c r="B75" s="139" t="s">
        <v>721</v>
      </c>
      <c r="C75" s="140"/>
      <c r="D75" s="140"/>
      <c r="E75" s="140"/>
      <c r="F75" s="140"/>
      <c r="G75" s="141"/>
    </row>
    <row r="76" spans="2:7" ht="15.5" thickTop="1" x14ac:dyDescent="0.55000000000000004">
      <c r="B76" s="1" t="s">
        <v>722</v>
      </c>
    </row>
    <row r="77" spans="2:7" x14ac:dyDescent="0.55000000000000004">
      <c r="B77" s="1" t="s">
        <v>725</v>
      </c>
    </row>
    <row r="78" spans="2:7" ht="15.5" thickBot="1" x14ac:dyDescent="0.6"/>
    <row r="79" spans="2:7" ht="16" thickTop="1" thickBot="1" x14ac:dyDescent="0.6">
      <c r="B79" s="142" t="s">
        <v>847</v>
      </c>
      <c r="C79" s="143"/>
      <c r="D79" s="143"/>
      <c r="E79" s="143"/>
      <c r="F79" s="143"/>
      <c r="G79" s="144"/>
    </row>
    <row r="80" spans="2:7" ht="15.5" thickTop="1" x14ac:dyDescent="0.55000000000000004"/>
    <row r="81" spans="1:17" x14ac:dyDescent="0.55000000000000004">
      <c r="B81" s="145"/>
      <c r="C81" s="145"/>
      <c r="D81" s="145"/>
      <c r="E81" s="41" t="str">
        <f t="shared" ref="E81:Q81" si="5">D193</f>
        <v>無断熱</v>
      </c>
      <c r="F81" s="41" t="str">
        <f t="shared" si="5"/>
        <v>S55</v>
      </c>
      <c r="G81" s="41" t="str">
        <f t="shared" si="5"/>
        <v>H4</v>
      </c>
      <c r="H81" s="41" t="str">
        <f t="shared" si="5"/>
        <v>H11</v>
      </c>
      <c r="I81" s="41" t="str">
        <f t="shared" si="5"/>
        <v>BEI1.0</v>
      </c>
      <c r="J81" s="41" t="str">
        <f t="shared" si="5"/>
        <v>BEI0.9</v>
      </c>
      <c r="K81" s="41" t="str">
        <f t="shared" si="5"/>
        <v>BEI0.85</v>
      </c>
      <c r="L81" s="41" t="str">
        <f t="shared" si="5"/>
        <v>BEI0.8</v>
      </c>
      <c r="M81" s="41" t="str">
        <f t="shared" si="5"/>
        <v>BEI0.75</v>
      </c>
      <c r="N81" s="41" t="str">
        <f t="shared" si="5"/>
        <v>BEI0.7</v>
      </c>
      <c r="O81" s="41" t="str">
        <f t="shared" si="5"/>
        <v>BEI0.65</v>
      </c>
      <c r="P81" s="41" t="str">
        <f t="shared" si="5"/>
        <v>BEI0.7</v>
      </c>
      <c r="Q81" s="41" t="str">
        <f t="shared" si="5"/>
        <v>BEI0.5</v>
      </c>
    </row>
    <row r="82" spans="1:17" x14ac:dyDescent="0.55000000000000004">
      <c r="B82" s="145" t="s">
        <v>576</v>
      </c>
      <c r="C82" s="145"/>
      <c r="D82" s="145"/>
      <c r="E82" s="41">
        <f t="shared" ref="E82:Q82" si="6">D194</f>
        <v>82</v>
      </c>
      <c r="F82" s="41">
        <f t="shared" si="6"/>
        <v>75.400000000000006</v>
      </c>
      <c r="G82" s="41">
        <f t="shared" si="6"/>
        <v>68.8</v>
      </c>
      <c r="H82" s="41">
        <f t="shared" si="6"/>
        <v>62.8</v>
      </c>
      <c r="I82" s="41">
        <f t="shared" si="6"/>
        <v>62.8</v>
      </c>
      <c r="J82" s="41">
        <f t="shared" si="6"/>
        <v>58.2</v>
      </c>
      <c r="K82" s="41">
        <f t="shared" si="6"/>
        <v>55.9</v>
      </c>
      <c r="L82" s="41">
        <f t="shared" si="6"/>
        <v>53.5</v>
      </c>
      <c r="M82" s="41">
        <f t="shared" si="6"/>
        <v>51.2</v>
      </c>
      <c r="N82" s="41">
        <f t="shared" si="6"/>
        <v>48.9</v>
      </c>
      <c r="O82" s="41">
        <f t="shared" si="6"/>
        <v>0</v>
      </c>
      <c r="P82" s="41">
        <f t="shared" si="6"/>
        <v>48.9</v>
      </c>
      <c r="Q82" s="41">
        <f t="shared" si="6"/>
        <v>39.799999999999997</v>
      </c>
    </row>
    <row r="83" spans="1:17" x14ac:dyDescent="0.55000000000000004">
      <c r="B83" s="145" t="s">
        <v>577</v>
      </c>
      <c r="C83" s="145"/>
      <c r="D83" s="145"/>
      <c r="E83" s="41">
        <f>ROUND(D207,1)</f>
        <v>0</v>
      </c>
      <c r="F83" s="41">
        <f t="shared" ref="F83:Q83" si="7">ROUND(E207,1)</f>
        <v>0</v>
      </c>
      <c r="G83" s="41">
        <f t="shared" si="7"/>
        <v>544.29999999999995</v>
      </c>
      <c r="H83" s="41">
        <f t="shared" si="7"/>
        <v>95</v>
      </c>
      <c r="I83" s="41">
        <f t="shared" si="7"/>
        <v>476.5</v>
      </c>
      <c r="J83" s="41">
        <f t="shared" si="7"/>
        <v>42.9</v>
      </c>
      <c r="K83" s="41">
        <f t="shared" si="7"/>
        <v>160.30000000000001</v>
      </c>
      <c r="L83" s="41">
        <f t="shared" si="7"/>
        <v>285.7</v>
      </c>
      <c r="M83" s="41">
        <f t="shared" si="7"/>
        <v>96.9</v>
      </c>
      <c r="N83" s="41">
        <f t="shared" si="7"/>
        <v>96.8</v>
      </c>
      <c r="O83" s="41">
        <f t="shared" si="7"/>
        <v>0</v>
      </c>
      <c r="P83" s="41">
        <f t="shared" si="7"/>
        <v>480.7</v>
      </c>
      <c r="Q83" s="41">
        <f t="shared" si="7"/>
        <v>53.4</v>
      </c>
    </row>
    <row r="84" spans="1:17" x14ac:dyDescent="0.55000000000000004">
      <c r="B84" s="145" t="s">
        <v>578</v>
      </c>
      <c r="C84" s="145"/>
      <c r="D84" s="145"/>
      <c r="E84" s="41">
        <f>ROUND(D208,0)</f>
        <v>0</v>
      </c>
      <c r="F84" s="41">
        <f t="shared" ref="F84:Q84" si="8">ROUND(E208,0)</f>
        <v>0</v>
      </c>
      <c r="G84" s="41">
        <f t="shared" si="8"/>
        <v>37449</v>
      </c>
      <c r="H84" s="41">
        <f t="shared" si="8"/>
        <v>5966</v>
      </c>
      <c r="I84" s="41">
        <f t="shared" si="8"/>
        <v>29923</v>
      </c>
      <c r="J84" s="41">
        <f t="shared" si="8"/>
        <v>2497</v>
      </c>
      <c r="K84" s="41">
        <f t="shared" si="8"/>
        <v>8962</v>
      </c>
      <c r="L84" s="41">
        <f t="shared" si="8"/>
        <v>15286</v>
      </c>
      <c r="M84" s="41">
        <f t="shared" si="8"/>
        <v>4961</v>
      </c>
      <c r="N84" s="41">
        <f t="shared" si="8"/>
        <v>4733</v>
      </c>
      <c r="O84" s="41">
        <f t="shared" si="8"/>
        <v>0</v>
      </c>
      <c r="P84" s="41">
        <f t="shared" si="8"/>
        <v>23509</v>
      </c>
      <c r="Q84" s="41">
        <f t="shared" si="8"/>
        <v>2126</v>
      </c>
    </row>
    <row r="86" spans="1:17" x14ac:dyDescent="0.55000000000000004">
      <c r="B86" s="137" t="s">
        <v>688</v>
      </c>
      <c r="C86" s="137"/>
      <c r="D86" s="137"/>
      <c r="E86" s="137"/>
      <c r="F86" s="7">
        <f>F60</f>
        <v>16.5</v>
      </c>
      <c r="G86" s="1" t="str">
        <f>G60</f>
        <v>億GJ</v>
      </c>
    </row>
    <row r="87" spans="1:17" x14ac:dyDescent="0.55000000000000004">
      <c r="B87" s="160" t="s">
        <v>580</v>
      </c>
      <c r="C87" s="160"/>
      <c r="D87" s="160"/>
      <c r="E87" s="160"/>
      <c r="F87" s="7">
        <f>F61</f>
        <v>17</v>
      </c>
      <c r="G87" s="1" t="str">
        <f>G61</f>
        <v>億GJ</v>
      </c>
    </row>
    <row r="88" spans="1:17" x14ac:dyDescent="0.55000000000000004">
      <c r="B88" s="145" t="s">
        <v>684</v>
      </c>
      <c r="C88" s="145"/>
      <c r="D88" s="145"/>
      <c r="E88" s="145"/>
      <c r="F88" s="44">
        <f>ROUND(Q208/10000,1)</f>
        <v>13.5</v>
      </c>
      <c r="G88" s="1" t="s">
        <v>727</v>
      </c>
    </row>
    <row r="89" spans="1:17" x14ac:dyDescent="0.55000000000000004">
      <c r="H89" s="135"/>
    </row>
    <row r="91" spans="1:17" hidden="1" x14ac:dyDescent="0.55000000000000004"/>
    <row r="92" spans="1:17" hidden="1" x14ac:dyDescent="0.55000000000000004">
      <c r="A92" s="4" t="s">
        <v>76</v>
      </c>
    </row>
    <row r="93" spans="1:17" hidden="1" x14ac:dyDescent="0.55000000000000004">
      <c r="A93" s="4"/>
      <c r="F93" s="1" t="s">
        <v>41</v>
      </c>
      <c r="G93" s="1" t="s">
        <v>27</v>
      </c>
      <c r="H93" s="1" t="s">
        <v>28</v>
      </c>
      <c r="I93" s="1" t="s">
        <v>29</v>
      </c>
      <c r="J93" s="1" t="s">
        <v>30</v>
      </c>
      <c r="K93" s="1" t="s">
        <v>39</v>
      </c>
      <c r="L93" s="1" t="s">
        <v>31</v>
      </c>
      <c r="M93" s="1" t="s">
        <v>32</v>
      </c>
      <c r="N93" s="1" t="s">
        <v>33</v>
      </c>
      <c r="O93" s="1" t="s">
        <v>43</v>
      </c>
      <c r="P93" s="1" t="s">
        <v>34</v>
      </c>
    </row>
    <row r="94" spans="1:17" hidden="1" x14ac:dyDescent="0.55000000000000004">
      <c r="B94" s="1" t="s">
        <v>77</v>
      </c>
      <c r="E94" s="1" t="s">
        <v>22</v>
      </c>
      <c r="F94" s="9">
        <v>0</v>
      </c>
      <c r="G94" s="9">
        <v>0</v>
      </c>
      <c r="H94" s="9">
        <v>0</v>
      </c>
      <c r="I94" s="9">
        <v>0</v>
      </c>
      <c r="J94" s="9">
        <v>9.1999999999999993</v>
      </c>
      <c r="K94" s="9">
        <v>6</v>
      </c>
      <c r="L94" s="9">
        <v>20.100000000000001</v>
      </c>
      <c r="M94" s="9">
        <v>33.6</v>
      </c>
      <c r="N94" s="9">
        <v>8</v>
      </c>
      <c r="O94" s="9">
        <v>0</v>
      </c>
      <c r="P94" s="9">
        <v>23.1</v>
      </c>
      <c r="Q94" s="1">
        <f>SUM(F94:P94)</f>
        <v>100</v>
      </c>
    </row>
    <row r="95" spans="1:17" hidden="1" x14ac:dyDescent="0.55000000000000004">
      <c r="E95" s="1" t="s">
        <v>23</v>
      </c>
      <c r="F95" s="9">
        <v>0</v>
      </c>
      <c r="G95" s="9">
        <v>0</v>
      </c>
      <c r="H95" s="9">
        <v>0</v>
      </c>
      <c r="I95" s="9">
        <v>0</v>
      </c>
      <c r="P95" s="9">
        <v>0</v>
      </c>
      <c r="Q95" s="1">
        <f>SUM(F95:P95)</f>
        <v>0</v>
      </c>
    </row>
    <row r="96" spans="1:17" hidden="1" x14ac:dyDescent="0.55000000000000004">
      <c r="B96" s="1" t="s">
        <v>78</v>
      </c>
      <c r="E96" s="1" t="s">
        <v>22</v>
      </c>
      <c r="F96" s="9">
        <v>0</v>
      </c>
      <c r="G96" s="9">
        <v>0</v>
      </c>
      <c r="H96" s="9">
        <v>0</v>
      </c>
      <c r="I96" s="9">
        <v>0</v>
      </c>
      <c r="J96" s="9">
        <v>0</v>
      </c>
      <c r="K96" s="9">
        <v>0</v>
      </c>
      <c r="L96" s="9">
        <v>0</v>
      </c>
      <c r="M96" s="9">
        <v>60</v>
      </c>
      <c r="N96" s="9">
        <v>10</v>
      </c>
      <c r="O96" s="9">
        <v>0</v>
      </c>
      <c r="P96" s="9">
        <v>30</v>
      </c>
      <c r="Q96" s="1">
        <f>SUM(F96:P96)</f>
        <v>100</v>
      </c>
    </row>
    <row r="97" spans="2:17" hidden="1" x14ac:dyDescent="0.55000000000000004">
      <c r="E97" s="1" t="s">
        <v>23</v>
      </c>
      <c r="F97" s="9">
        <v>0</v>
      </c>
      <c r="G97" s="9">
        <v>0</v>
      </c>
      <c r="H97" s="9">
        <v>0</v>
      </c>
      <c r="I97" s="9">
        <v>0</v>
      </c>
      <c r="P97" s="9">
        <v>0</v>
      </c>
      <c r="Q97" s="1">
        <f>SUM(F97:P97)</f>
        <v>0</v>
      </c>
    </row>
    <row r="98" spans="2:17" hidden="1" x14ac:dyDescent="0.55000000000000004"/>
    <row r="99" spans="2:17" hidden="1" x14ac:dyDescent="0.55000000000000004">
      <c r="E99" s="1" t="s">
        <v>23</v>
      </c>
      <c r="F99" s="1">
        <f>SIM用基本データ!F31</f>
        <v>82</v>
      </c>
      <c r="G99" s="1">
        <f>SIM用基本データ!G31</f>
        <v>75.400000000000006</v>
      </c>
      <c r="H99" s="1">
        <f>SIM用基本データ!H31</f>
        <v>68.8</v>
      </c>
      <c r="I99" s="1">
        <f>SIM用基本データ!I31</f>
        <v>62.8</v>
      </c>
      <c r="J99" s="1">
        <f>SIM用基本データ!J31</f>
        <v>62.8</v>
      </c>
      <c r="K99" s="1">
        <f>SIM用基本データ!K31</f>
        <v>58.2</v>
      </c>
      <c r="L99" s="1">
        <f>SIM用基本データ!L31</f>
        <v>55.9</v>
      </c>
      <c r="M99" s="1">
        <f>SIM用基本データ!M31</f>
        <v>53.5</v>
      </c>
      <c r="N99" s="1">
        <f>SIM用基本データ!N31</f>
        <v>51.2</v>
      </c>
      <c r="O99" s="1">
        <f>SIM用基本データ!O31</f>
        <v>48.9</v>
      </c>
      <c r="P99" s="1">
        <f>SIM用基本データ!P31</f>
        <v>0</v>
      </c>
    </row>
    <row r="100" spans="2:17" hidden="1" x14ac:dyDescent="0.55000000000000004"/>
    <row r="101" spans="2:17" hidden="1" x14ac:dyDescent="0.55000000000000004"/>
    <row r="102" spans="2:17" hidden="1" x14ac:dyDescent="0.55000000000000004">
      <c r="B102" s="4" t="s">
        <v>23</v>
      </c>
      <c r="C102" s="1" t="s">
        <v>48</v>
      </c>
      <c r="D102" s="1" t="s">
        <v>71</v>
      </c>
      <c r="F102" s="4">
        <f>基本データ!C13</f>
        <v>0</v>
      </c>
      <c r="G102" s="4">
        <f>基本データ!D13</f>
        <v>0</v>
      </c>
      <c r="H102" s="4">
        <f>基本データ!E13</f>
        <v>33.700000000000003</v>
      </c>
      <c r="I102" s="4">
        <f>基本データ!F13</f>
        <v>0</v>
      </c>
      <c r="J102" s="4">
        <f>基本データ!G13</f>
        <v>9.4</v>
      </c>
      <c r="K102" s="4">
        <f>基本データ!H13</f>
        <v>8</v>
      </c>
      <c r="L102" s="4">
        <f>基本データ!I13</f>
        <v>48.6</v>
      </c>
      <c r="M102" s="4">
        <f>基本データ!J13</f>
        <v>0.3</v>
      </c>
      <c r="N102" s="4">
        <f>基本データ!K13</f>
        <v>0</v>
      </c>
      <c r="O102" s="4">
        <f>基本データ!L13</f>
        <v>0</v>
      </c>
      <c r="P102" s="4">
        <f>基本データ!M13</f>
        <v>0</v>
      </c>
    </row>
    <row r="103" spans="2:17" hidden="1" x14ac:dyDescent="0.55000000000000004">
      <c r="B103" s="4"/>
      <c r="E103" s="1">
        <f>SIM用基本データ!D3</f>
        <v>44.9</v>
      </c>
      <c r="F103" s="4">
        <f t="shared" ref="F103:P103" si="9">$E103*F102/100</f>
        <v>0</v>
      </c>
      <c r="G103" s="4">
        <f t="shared" si="9"/>
        <v>0</v>
      </c>
      <c r="H103" s="4">
        <f t="shared" si="9"/>
        <v>15.131300000000001</v>
      </c>
      <c r="I103" s="4">
        <f t="shared" si="9"/>
        <v>0</v>
      </c>
      <c r="J103" s="4">
        <f t="shared" si="9"/>
        <v>4.2206000000000001</v>
      </c>
      <c r="K103" s="4">
        <f t="shared" si="9"/>
        <v>3.5920000000000001</v>
      </c>
      <c r="L103" s="4">
        <f t="shared" si="9"/>
        <v>21.821399999999997</v>
      </c>
      <c r="M103" s="4">
        <f t="shared" si="9"/>
        <v>0.13469999999999999</v>
      </c>
      <c r="N103" s="4">
        <f t="shared" si="9"/>
        <v>0</v>
      </c>
      <c r="O103" s="4">
        <f t="shared" si="9"/>
        <v>0</v>
      </c>
      <c r="P103" s="4">
        <f t="shared" si="9"/>
        <v>0</v>
      </c>
    </row>
    <row r="104" spans="2:17" hidden="1" x14ac:dyDescent="0.55000000000000004">
      <c r="C104" s="1" t="s">
        <v>49</v>
      </c>
      <c r="D104" s="1" t="s">
        <v>71</v>
      </c>
      <c r="E104" s="1">
        <f>SIM用基本データ!D4</f>
        <v>0</v>
      </c>
      <c r="F104" s="4">
        <f>基本データ!C15</f>
        <v>0</v>
      </c>
      <c r="G104" s="4">
        <f>基本データ!D15</f>
        <v>0</v>
      </c>
      <c r="H104" s="4">
        <f>基本データ!E15</f>
        <v>27.6</v>
      </c>
      <c r="I104" s="4">
        <f>基本データ!F15</f>
        <v>0</v>
      </c>
      <c r="J104" s="4">
        <f>基本データ!G15</f>
        <v>9.6999999999999993</v>
      </c>
      <c r="K104" s="4">
        <f>基本データ!H15</f>
        <v>11.8</v>
      </c>
      <c r="L104" s="4">
        <f>基本データ!I15</f>
        <v>49.3</v>
      </c>
      <c r="M104" s="4">
        <f>基本データ!J15</f>
        <v>0.3</v>
      </c>
      <c r="N104" s="4">
        <f>基本データ!K15</f>
        <v>0.7</v>
      </c>
      <c r="O104" s="4">
        <f>基本データ!L15</f>
        <v>0.6</v>
      </c>
      <c r="P104" s="4">
        <f>基本データ!M15</f>
        <v>0</v>
      </c>
    </row>
    <row r="105" spans="2:17" hidden="1" x14ac:dyDescent="0.55000000000000004">
      <c r="E105" s="1">
        <f>SIM用基本データ!D5</f>
        <v>41.5</v>
      </c>
      <c r="F105" s="4">
        <f t="shared" ref="F105:P105" si="10">$E105*F104/100</f>
        <v>0</v>
      </c>
      <c r="G105" s="4">
        <f t="shared" si="10"/>
        <v>0</v>
      </c>
      <c r="H105" s="4">
        <f t="shared" si="10"/>
        <v>11.454000000000001</v>
      </c>
      <c r="I105" s="4">
        <f t="shared" si="10"/>
        <v>0</v>
      </c>
      <c r="J105" s="4">
        <f t="shared" si="10"/>
        <v>4.0254999999999992</v>
      </c>
      <c r="K105" s="4">
        <f t="shared" si="10"/>
        <v>4.8970000000000002</v>
      </c>
      <c r="L105" s="4">
        <f t="shared" si="10"/>
        <v>20.459499999999998</v>
      </c>
      <c r="M105" s="4">
        <f t="shared" si="10"/>
        <v>0.1245</v>
      </c>
      <c r="N105" s="4">
        <f t="shared" si="10"/>
        <v>0.29049999999999998</v>
      </c>
      <c r="O105" s="4">
        <f t="shared" si="10"/>
        <v>0.249</v>
      </c>
      <c r="P105" s="4">
        <f t="shared" si="10"/>
        <v>0</v>
      </c>
    </row>
    <row r="106" spans="2:17" hidden="1" x14ac:dyDescent="0.55000000000000004">
      <c r="C106" s="1" t="s">
        <v>50</v>
      </c>
      <c r="D106" s="1" t="s">
        <v>71</v>
      </c>
      <c r="E106" s="1">
        <f>SIM用基本データ!D6</f>
        <v>0</v>
      </c>
      <c r="F106" s="8">
        <f t="shared" ref="F106:P106" si="11">F104+(F$114-F$104)/5</f>
        <v>0</v>
      </c>
      <c r="G106" s="8">
        <f t="shared" si="11"/>
        <v>0</v>
      </c>
      <c r="H106" s="8">
        <f t="shared" si="11"/>
        <v>22.080000000000002</v>
      </c>
      <c r="I106" s="8">
        <f t="shared" si="11"/>
        <v>0</v>
      </c>
      <c r="J106" s="8">
        <f t="shared" si="11"/>
        <v>11.16</v>
      </c>
      <c r="K106" s="8">
        <f t="shared" si="11"/>
        <v>10.520000000000001</v>
      </c>
      <c r="L106" s="8">
        <f t="shared" si="11"/>
        <v>43.919999999999995</v>
      </c>
      <c r="M106" s="8">
        <f t="shared" si="11"/>
        <v>6.82</v>
      </c>
      <c r="N106" s="8">
        <f t="shared" si="11"/>
        <v>2.8</v>
      </c>
      <c r="O106" s="8">
        <f t="shared" si="11"/>
        <v>2.72</v>
      </c>
      <c r="P106" s="8">
        <f t="shared" si="11"/>
        <v>0</v>
      </c>
      <c r="Q106" s="1">
        <f>SUM(H106:P106)</f>
        <v>100.02</v>
      </c>
    </row>
    <row r="107" spans="2:17" hidden="1" x14ac:dyDescent="0.55000000000000004">
      <c r="E107" s="1">
        <f>SIM用基本データ!D7</f>
        <v>44.9</v>
      </c>
      <c r="F107" s="4">
        <f t="shared" ref="F107:P107" si="12">$E107*F106/100</f>
        <v>0</v>
      </c>
      <c r="G107" s="4">
        <f t="shared" si="12"/>
        <v>0</v>
      </c>
      <c r="H107" s="4">
        <f t="shared" si="12"/>
        <v>9.913920000000001</v>
      </c>
      <c r="I107" s="4">
        <f t="shared" si="12"/>
        <v>0</v>
      </c>
      <c r="J107" s="4">
        <f t="shared" si="12"/>
        <v>5.01084</v>
      </c>
      <c r="K107" s="4">
        <f t="shared" si="12"/>
        <v>4.7234800000000003</v>
      </c>
      <c r="L107" s="4">
        <f t="shared" si="12"/>
        <v>19.720079999999996</v>
      </c>
      <c r="M107" s="4">
        <f t="shared" si="12"/>
        <v>3.0621800000000001</v>
      </c>
      <c r="N107" s="4">
        <f t="shared" si="12"/>
        <v>1.2571999999999999</v>
      </c>
      <c r="O107" s="4">
        <f t="shared" si="12"/>
        <v>1.2212799999999999</v>
      </c>
      <c r="P107" s="4">
        <f t="shared" si="12"/>
        <v>0</v>
      </c>
    </row>
    <row r="108" spans="2:17" hidden="1" x14ac:dyDescent="0.55000000000000004">
      <c r="C108" s="1" t="s">
        <v>63</v>
      </c>
      <c r="D108" s="1" t="s">
        <v>71</v>
      </c>
      <c r="E108" s="1">
        <f>SIM用基本データ!D8</f>
        <v>0</v>
      </c>
      <c r="F108" s="8">
        <f t="shared" ref="F108:P108" si="13">F106+(F$114-F$104)/5</f>
        <v>0</v>
      </c>
      <c r="G108" s="8">
        <f t="shared" si="13"/>
        <v>0</v>
      </c>
      <c r="H108" s="8">
        <f t="shared" si="13"/>
        <v>16.560000000000002</v>
      </c>
      <c r="I108" s="8">
        <f t="shared" si="13"/>
        <v>0</v>
      </c>
      <c r="J108" s="8">
        <f t="shared" si="13"/>
        <v>12.620000000000001</v>
      </c>
      <c r="K108" s="8">
        <f t="shared" si="13"/>
        <v>9.240000000000002</v>
      </c>
      <c r="L108" s="8">
        <f t="shared" si="13"/>
        <v>38.539999999999992</v>
      </c>
      <c r="M108" s="8">
        <f t="shared" si="13"/>
        <v>13.34</v>
      </c>
      <c r="N108" s="8">
        <f t="shared" si="13"/>
        <v>4.9000000000000004</v>
      </c>
      <c r="O108" s="8">
        <f t="shared" si="13"/>
        <v>4.84</v>
      </c>
      <c r="P108" s="8">
        <f t="shared" si="13"/>
        <v>0</v>
      </c>
      <c r="Q108" s="1">
        <f>SUM(H108:P108)</f>
        <v>100.04</v>
      </c>
    </row>
    <row r="109" spans="2:17" hidden="1" x14ac:dyDescent="0.55000000000000004">
      <c r="E109" s="1">
        <f>SIM用基本データ!D9</f>
        <v>46.922146057932046</v>
      </c>
      <c r="F109" s="4">
        <f t="shared" ref="F109:P109" si="14">$E109*F108/100</f>
        <v>0</v>
      </c>
      <c r="G109" s="4">
        <f t="shared" si="14"/>
        <v>0</v>
      </c>
      <c r="H109" s="4">
        <f t="shared" si="14"/>
        <v>7.7703073871935473</v>
      </c>
      <c r="I109" s="4">
        <f t="shared" si="14"/>
        <v>0</v>
      </c>
      <c r="J109" s="4">
        <f t="shared" si="14"/>
        <v>5.9215748325110242</v>
      </c>
      <c r="K109" s="4">
        <f t="shared" si="14"/>
        <v>4.335606295752922</v>
      </c>
      <c r="L109" s="4">
        <f t="shared" si="14"/>
        <v>18.083795090727008</v>
      </c>
      <c r="M109" s="4">
        <f t="shared" si="14"/>
        <v>6.2594142841281348</v>
      </c>
      <c r="N109" s="4">
        <f t="shared" si="14"/>
        <v>2.2991851568386705</v>
      </c>
      <c r="O109" s="4">
        <f t="shared" si="14"/>
        <v>2.2710318692039109</v>
      </c>
      <c r="P109" s="4">
        <f t="shared" si="14"/>
        <v>0</v>
      </c>
    </row>
    <row r="110" spans="2:17" hidden="1" x14ac:dyDescent="0.55000000000000004">
      <c r="C110" s="1" t="s">
        <v>64</v>
      </c>
      <c r="D110" s="1" t="s">
        <v>71</v>
      </c>
      <c r="E110" s="1">
        <f>SIM用基本データ!D10</f>
        <v>0</v>
      </c>
      <c r="F110" s="8">
        <f t="shared" ref="F110:P110" si="15">F108+(F$114-F$104)/5</f>
        <v>0</v>
      </c>
      <c r="G110" s="8">
        <f t="shared" si="15"/>
        <v>0</v>
      </c>
      <c r="H110" s="8">
        <f t="shared" si="15"/>
        <v>11.040000000000003</v>
      </c>
      <c r="I110" s="8">
        <f t="shared" si="15"/>
        <v>0</v>
      </c>
      <c r="J110" s="8">
        <f t="shared" si="15"/>
        <v>14.080000000000002</v>
      </c>
      <c r="K110" s="8">
        <f t="shared" si="15"/>
        <v>7.9600000000000017</v>
      </c>
      <c r="L110" s="8">
        <f t="shared" si="15"/>
        <v>33.159999999999989</v>
      </c>
      <c r="M110" s="8">
        <f t="shared" si="15"/>
        <v>19.86</v>
      </c>
      <c r="N110" s="8">
        <f t="shared" si="15"/>
        <v>7</v>
      </c>
      <c r="O110" s="8">
        <f t="shared" si="15"/>
        <v>6.96</v>
      </c>
      <c r="P110" s="8">
        <f t="shared" si="15"/>
        <v>0</v>
      </c>
      <c r="Q110" s="1">
        <f>SUM(H110:P110)</f>
        <v>100.05999999999999</v>
      </c>
    </row>
    <row r="111" spans="2:17" hidden="1" x14ac:dyDescent="0.55000000000000004">
      <c r="E111" s="1">
        <f>SIM用基本データ!D11</f>
        <v>45.989035198825441</v>
      </c>
      <c r="F111" s="4">
        <f t="shared" ref="F111:P111" si="16">$E111*F110/100</f>
        <v>0</v>
      </c>
      <c r="G111" s="4">
        <f t="shared" si="16"/>
        <v>0</v>
      </c>
      <c r="H111" s="4">
        <f t="shared" si="16"/>
        <v>5.0771894859503304</v>
      </c>
      <c r="I111" s="4">
        <f t="shared" si="16"/>
        <v>0</v>
      </c>
      <c r="J111" s="4">
        <f t="shared" si="16"/>
        <v>6.4752561559946233</v>
      </c>
      <c r="K111" s="4">
        <f t="shared" si="16"/>
        <v>3.6607272018265058</v>
      </c>
      <c r="L111" s="4">
        <f t="shared" si="16"/>
        <v>15.24996407193051</v>
      </c>
      <c r="M111" s="4">
        <f t="shared" si="16"/>
        <v>9.1334223904867322</v>
      </c>
      <c r="N111" s="4">
        <f t="shared" si="16"/>
        <v>3.219232463917781</v>
      </c>
      <c r="O111" s="4">
        <f t="shared" si="16"/>
        <v>3.2008368498382511</v>
      </c>
      <c r="P111" s="4">
        <f t="shared" si="16"/>
        <v>0</v>
      </c>
    </row>
    <row r="112" spans="2:17" hidden="1" x14ac:dyDescent="0.55000000000000004">
      <c r="C112" s="1" t="s">
        <v>65</v>
      </c>
      <c r="D112" s="1" t="s">
        <v>71</v>
      </c>
      <c r="E112" s="1">
        <f>SIM用基本データ!D12</f>
        <v>0</v>
      </c>
      <c r="F112" s="8">
        <f t="shared" ref="F112:P112" si="17">F110+(F$114-F$104)/5</f>
        <v>0</v>
      </c>
      <c r="G112" s="8">
        <f t="shared" si="17"/>
        <v>0</v>
      </c>
      <c r="H112" s="8">
        <f t="shared" si="17"/>
        <v>5.5200000000000022</v>
      </c>
      <c r="I112" s="8">
        <f t="shared" si="17"/>
        <v>0</v>
      </c>
      <c r="J112" s="8">
        <f t="shared" si="17"/>
        <v>15.540000000000003</v>
      </c>
      <c r="K112" s="8">
        <f t="shared" si="17"/>
        <v>6.6800000000000015</v>
      </c>
      <c r="L112" s="8">
        <f t="shared" si="17"/>
        <v>27.77999999999999</v>
      </c>
      <c r="M112" s="8">
        <f t="shared" si="17"/>
        <v>26.38</v>
      </c>
      <c r="N112" s="8">
        <f t="shared" si="17"/>
        <v>9.1</v>
      </c>
      <c r="O112" s="8">
        <f t="shared" si="17"/>
        <v>9.08</v>
      </c>
      <c r="P112" s="8">
        <f t="shared" si="17"/>
        <v>0</v>
      </c>
      <c r="Q112" s="1">
        <f>SUM(H112:P112)</f>
        <v>100.07999999999998</v>
      </c>
    </row>
    <row r="113" spans="3:17" hidden="1" x14ac:dyDescent="0.55000000000000004">
      <c r="E113" s="1">
        <f>SIM用基本データ!D13</f>
        <v>45.055924339718842</v>
      </c>
      <c r="F113" s="4">
        <f t="shared" ref="F113:P113" si="18">$E113*F112/100</f>
        <v>0</v>
      </c>
      <c r="G113" s="4">
        <f t="shared" si="18"/>
        <v>0</v>
      </c>
      <c r="H113" s="4">
        <f t="shared" si="18"/>
        <v>2.4870870235524811</v>
      </c>
      <c r="I113" s="4">
        <f t="shared" si="18"/>
        <v>0</v>
      </c>
      <c r="J113" s="4">
        <f t="shared" si="18"/>
        <v>7.0016906423923091</v>
      </c>
      <c r="K113" s="4">
        <f t="shared" si="18"/>
        <v>3.0097357458932192</v>
      </c>
      <c r="L113" s="4">
        <f t="shared" si="18"/>
        <v>12.516535781573891</v>
      </c>
      <c r="M113" s="4">
        <f t="shared" si="18"/>
        <v>11.88575284081783</v>
      </c>
      <c r="N113" s="4">
        <f t="shared" si="18"/>
        <v>4.1000891149144145</v>
      </c>
      <c r="O113" s="4">
        <f t="shared" si="18"/>
        <v>4.0910779300464704</v>
      </c>
      <c r="P113" s="4">
        <f t="shared" si="18"/>
        <v>0</v>
      </c>
    </row>
    <row r="114" spans="3:17" hidden="1" x14ac:dyDescent="0.55000000000000004">
      <c r="C114" s="1" t="s">
        <v>66</v>
      </c>
      <c r="D114" s="1" t="s">
        <v>71</v>
      </c>
      <c r="E114" s="1">
        <f>SIM用基本データ!D14</f>
        <v>0</v>
      </c>
      <c r="F114" s="20">
        <f>F95</f>
        <v>0</v>
      </c>
      <c r="G114" s="20">
        <f>G95</f>
        <v>0</v>
      </c>
      <c r="H114" s="20">
        <f>H95</f>
        <v>0</v>
      </c>
      <c r="I114" s="20">
        <f>I95</f>
        <v>0</v>
      </c>
      <c r="J114" s="20">
        <f t="shared" ref="J114:O114" si="19">E15</f>
        <v>17</v>
      </c>
      <c r="K114" s="20">
        <f t="shared" si="19"/>
        <v>5.4</v>
      </c>
      <c r="L114" s="20">
        <f t="shared" si="19"/>
        <v>22.4</v>
      </c>
      <c r="M114" s="20">
        <f t="shared" si="19"/>
        <v>32.9</v>
      </c>
      <c r="N114" s="20">
        <f t="shared" si="19"/>
        <v>11.2</v>
      </c>
      <c r="O114" s="20">
        <f t="shared" si="19"/>
        <v>11.2</v>
      </c>
      <c r="P114" s="20">
        <f>P95</f>
        <v>0</v>
      </c>
      <c r="Q114" s="1">
        <f>SUM(J114:P114)</f>
        <v>100.1</v>
      </c>
    </row>
    <row r="115" spans="3:17" hidden="1" x14ac:dyDescent="0.55000000000000004">
      <c r="E115" s="1">
        <f>SIM用基本データ!D15</f>
        <v>44.122813480612237</v>
      </c>
      <c r="F115" s="4">
        <f t="shared" ref="F115:P115" si="20">$E115*F114/100</f>
        <v>0</v>
      </c>
      <c r="G115" s="4">
        <f t="shared" si="20"/>
        <v>0</v>
      </c>
      <c r="H115" s="4">
        <f t="shared" si="20"/>
        <v>0</v>
      </c>
      <c r="I115" s="4">
        <f t="shared" si="20"/>
        <v>0</v>
      </c>
      <c r="J115" s="4">
        <f t="shared" si="20"/>
        <v>7.5008782917040797</v>
      </c>
      <c r="K115" s="4">
        <f t="shared" si="20"/>
        <v>2.382631927953061</v>
      </c>
      <c r="L115" s="4">
        <f t="shared" si="20"/>
        <v>9.8835102196571398</v>
      </c>
      <c r="M115" s="4">
        <f t="shared" si="20"/>
        <v>14.516405635121425</v>
      </c>
      <c r="N115" s="4">
        <f t="shared" si="20"/>
        <v>4.9417551098285699</v>
      </c>
      <c r="O115" s="4">
        <f t="shared" si="20"/>
        <v>4.9417551098285699</v>
      </c>
      <c r="P115" s="4">
        <f t="shared" si="20"/>
        <v>0</v>
      </c>
    </row>
    <row r="116" spans="3:17" hidden="1" x14ac:dyDescent="0.55000000000000004">
      <c r="C116" s="1" t="s">
        <v>67</v>
      </c>
      <c r="D116" s="1" t="s">
        <v>71</v>
      </c>
      <c r="E116" s="1">
        <f>SIM用基本データ!D16</f>
        <v>0</v>
      </c>
      <c r="F116" s="8">
        <f t="shared" ref="F116:P116" si="21">F114+(F$124-F$114)/5</f>
        <v>0</v>
      </c>
      <c r="G116" s="8">
        <f t="shared" si="21"/>
        <v>0</v>
      </c>
      <c r="H116" s="8">
        <f t="shared" si="21"/>
        <v>0</v>
      </c>
      <c r="I116" s="8">
        <f t="shared" si="21"/>
        <v>0</v>
      </c>
      <c r="J116" s="8">
        <f t="shared" si="21"/>
        <v>13.6</v>
      </c>
      <c r="K116" s="8">
        <f t="shared" si="21"/>
        <v>4.32</v>
      </c>
      <c r="L116" s="8">
        <f t="shared" si="21"/>
        <v>17.919999999999998</v>
      </c>
      <c r="M116" s="8">
        <f t="shared" si="21"/>
        <v>38.32</v>
      </c>
      <c r="N116" s="8">
        <f t="shared" si="21"/>
        <v>12.959999999999999</v>
      </c>
      <c r="O116" s="8">
        <f t="shared" si="21"/>
        <v>12.959999999999999</v>
      </c>
      <c r="P116" s="8">
        <f t="shared" si="21"/>
        <v>0</v>
      </c>
      <c r="Q116" s="1">
        <f>SUM(H116:P116)</f>
        <v>100.07999999999998</v>
      </c>
    </row>
    <row r="117" spans="3:17" hidden="1" x14ac:dyDescent="0.55000000000000004">
      <c r="E117" s="1">
        <f>SIM用基本データ!D17</f>
        <v>43.189702621505631</v>
      </c>
      <c r="F117" s="4">
        <f t="shared" ref="F117:P117" si="22">$E117*F116/100</f>
        <v>0</v>
      </c>
      <c r="G117" s="4">
        <f t="shared" si="22"/>
        <v>0</v>
      </c>
      <c r="H117" s="4">
        <f t="shared" si="22"/>
        <v>0</v>
      </c>
      <c r="I117" s="4">
        <f t="shared" si="22"/>
        <v>0</v>
      </c>
      <c r="J117" s="4">
        <f t="shared" si="22"/>
        <v>5.8737995565247658</v>
      </c>
      <c r="K117" s="4">
        <f t="shared" si="22"/>
        <v>1.8657951532490435</v>
      </c>
      <c r="L117" s="4">
        <f t="shared" si="22"/>
        <v>7.7395947097738089</v>
      </c>
      <c r="M117" s="4">
        <f t="shared" si="22"/>
        <v>16.550294044560957</v>
      </c>
      <c r="N117" s="4">
        <f t="shared" si="22"/>
        <v>5.5973854597471293</v>
      </c>
      <c r="O117" s="4">
        <f t="shared" si="22"/>
        <v>5.5973854597471293</v>
      </c>
      <c r="P117" s="4">
        <f t="shared" si="22"/>
        <v>0</v>
      </c>
    </row>
    <row r="118" spans="3:17" hidden="1" x14ac:dyDescent="0.55000000000000004">
      <c r="C118" s="1" t="s">
        <v>68</v>
      </c>
      <c r="D118" s="1" t="s">
        <v>71</v>
      </c>
      <c r="E118" s="1">
        <f>SIM用基本データ!D18</f>
        <v>0</v>
      </c>
      <c r="F118" s="8">
        <f t="shared" ref="F118:P118" si="23">F116+(F$124-F$114)/5</f>
        <v>0</v>
      </c>
      <c r="G118" s="8">
        <f t="shared" si="23"/>
        <v>0</v>
      </c>
      <c r="H118" s="8">
        <f t="shared" si="23"/>
        <v>0</v>
      </c>
      <c r="I118" s="8">
        <f t="shared" si="23"/>
        <v>0</v>
      </c>
      <c r="J118" s="8">
        <f t="shared" si="23"/>
        <v>10.199999999999999</v>
      </c>
      <c r="K118" s="8">
        <f t="shared" si="23"/>
        <v>3.24</v>
      </c>
      <c r="L118" s="8">
        <f t="shared" si="23"/>
        <v>13.439999999999998</v>
      </c>
      <c r="M118" s="8">
        <f t="shared" si="23"/>
        <v>43.74</v>
      </c>
      <c r="N118" s="8">
        <f t="shared" si="23"/>
        <v>14.719999999999999</v>
      </c>
      <c r="O118" s="8">
        <f t="shared" si="23"/>
        <v>14.719999999999999</v>
      </c>
      <c r="P118" s="8">
        <f t="shared" si="23"/>
        <v>0</v>
      </c>
      <c r="Q118" s="1">
        <f>SUM(J118:P118)</f>
        <v>100.06</v>
      </c>
    </row>
    <row r="119" spans="3:17" hidden="1" x14ac:dyDescent="0.55000000000000004">
      <c r="E119" s="1">
        <f>SIM用基本データ!D19</f>
        <v>42.256591762399033</v>
      </c>
      <c r="F119" s="4">
        <f t="shared" ref="F119:P119" si="24">$E119*F118/100</f>
        <v>0</v>
      </c>
      <c r="G119" s="4">
        <f t="shared" si="24"/>
        <v>0</v>
      </c>
      <c r="H119" s="4">
        <f t="shared" si="24"/>
        <v>0</v>
      </c>
      <c r="I119" s="4">
        <f t="shared" si="24"/>
        <v>0</v>
      </c>
      <c r="J119" s="4">
        <f t="shared" si="24"/>
        <v>4.3101723597647013</v>
      </c>
      <c r="K119" s="4">
        <f t="shared" si="24"/>
        <v>1.369113573101729</v>
      </c>
      <c r="L119" s="4">
        <f t="shared" si="24"/>
        <v>5.6792859328664296</v>
      </c>
      <c r="M119" s="4">
        <f t="shared" si="24"/>
        <v>18.483033236873339</v>
      </c>
      <c r="N119" s="4">
        <f t="shared" si="24"/>
        <v>6.2201703074251373</v>
      </c>
      <c r="O119" s="4">
        <f t="shared" si="24"/>
        <v>6.2201703074251373</v>
      </c>
      <c r="P119" s="4">
        <f t="shared" si="24"/>
        <v>0</v>
      </c>
    </row>
    <row r="120" spans="3:17" hidden="1" x14ac:dyDescent="0.55000000000000004">
      <c r="C120" s="1" t="s">
        <v>69</v>
      </c>
      <c r="D120" s="1" t="s">
        <v>71</v>
      </c>
      <c r="E120" s="1">
        <f>SIM用基本データ!D20</f>
        <v>0</v>
      </c>
      <c r="F120" s="8">
        <f t="shared" ref="F120:P120" si="25">F118+(F$124-F$114)/5</f>
        <v>0</v>
      </c>
      <c r="G120" s="8">
        <f t="shared" si="25"/>
        <v>0</v>
      </c>
      <c r="H120" s="8">
        <f t="shared" si="25"/>
        <v>0</v>
      </c>
      <c r="I120" s="8">
        <f t="shared" si="25"/>
        <v>0</v>
      </c>
      <c r="J120" s="8">
        <f t="shared" si="25"/>
        <v>6.7999999999999989</v>
      </c>
      <c r="K120" s="8">
        <f t="shared" si="25"/>
        <v>2.16</v>
      </c>
      <c r="L120" s="8">
        <f t="shared" si="25"/>
        <v>8.9599999999999973</v>
      </c>
      <c r="M120" s="8">
        <f t="shared" si="25"/>
        <v>49.160000000000004</v>
      </c>
      <c r="N120" s="8">
        <f t="shared" si="25"/>
        <v>16.48</v>
      </c>
      <c r="O120" s="8">
        <f t="shared" si="25"/>
        <v>16.48</v>
      </c>
      <c r="P120" s="8">
        <f t="shared" si="25"/>
        <v>0</v>
      </c>
      <c r="Q120" s="1">
        <f>SUM(J120:P120)</f>
        <v>100.04</v>
      </c>
    </row>
    <row r="121" spans="3:17" hidden="1" x14ac:dyDescent="0.55000000000000004">
      <c r="E121" s="1">
        <f>SIM用基本データ!D21</f>
        <v>41.323480903292428</v>
      </c>
      <c r="F121" s="4">
        <f t="shared" ref="F121:P121" si="26">$E121*F120/100</f>
        <v>0</v>
      </c>
      <c r="G121" s="4">
        <f t="shared" si="26"/>
        <v>0</v>
      </c>
      <c r="H121" s="4">
        <f t="shared" si="26"/>
        <v>0</v>
      </c>
      <c r="I121" s="4">
        <f t="shared" si="26"/>
        <v>0</v>
      </c>
      <c r="J121" s="4">
        <f t="shared" si="26"/>
        <v>2.8099967014238847</v>
      </c>
      <c r="K121" s="4">
        <f t="shared" si="26"/>
        <v>0.89258718751111643</v>
      </c>
      <c r="L121" s="4">
        <f t="shared" si="26"/>
        <v>3.702583888935</v>
      </c>
      <c r="M121" s="4">
        <f t="shared" si="26"/>
        <v>20.31462321205856</v>
      </c>
      <c r="N121" s="4">
        <f t="shared" si="26"/>
        <v>6.8101096528625922</v>
      </c>
      <c r="O121" s="4">
        <f t="shared" si="26"/>
        <v>6.8101096528625922</v>
      </c>
      <c r="P121" s="4">
        <f t="shared" si="26"/>
        <v>0</v>
      </c>
    </row>
    <row r="122" spans="3:17" hidden="1" x14ac:dyDescent="0.55000000000000004">
      <c r="C122" s="1" t="s">
        <v>70</v>
      </c>
      <c r="D122" s="1" t="s">
        <v>71</v>
      </c>
      <c r="E122" s="1">
        <f>SIM用基本データ!D22</f>
        <v>0</v>
      </c>
      <c r="F122" s="8">
        <f t="shared" ref="F122:P122" si="27">F120+(F$124-F$114)/5</f>
        <v>0</v>
      </c>
      <c r="G122" s="8">
        <f t="shared" si="27"/>
        <v>0</v>
      </c>
      <c r="H122" s="8">
        <f t="shared" si="27"/>
        <v>0</v>
      </c>
      <c r="I122" s="8">
        <f t="shared" si="27"/>
        <v>0</v>
      </c>
      <c r="J122" s="8">
        <f t="shared" si="27"/>
        <v>3.399999999999999</v>
      </c>
      <c r="K122" s="8">
        <f t="shared" si="27"/>
        <v>1.08</v>
      </c>
      <c r="L122" s="8">
        <f t="shared" si="27"/>
        <v>4.4799999999999978</v>
      </c>
      <c r="M122" s="8">
        <f t="shared" si="27"/>
        <v>54.580000000000005</v>
      </c>
      <c r="N122" s="8">
        <f t="shared" si="27"/>
        <v>18.240000000000002</v>
      </c>
      <c r="O122" s="8">
        <f t="shared" si="27"/>
        <v>18.240000000000002</v>
      </c>
      <c r="P122" s="8">
        <f t="shared" si="27"/>
        <v>0</v>
      </c>
      <c r="Q122" s="1">
        <f>SUM(J122:P122)</f>
        <v>100.02000000000001</v>
      </c>
    </row>
    <row r="123" spans="3:17" hidden="1" x14ac:dyDescent="0.55000000000000004">
      <c r="E123" s="1">
        <f>SIM用基本データ!D23</f>
        <v>40.390370044185822</v>
      </c>
      <c r="F123" s="4">
        <f t="shared" ref="F123:P123" si="28">$E123*F122/100</f>
        <v>0</v>
      </c>
      <c r="G123" s="4">
        <f t="shared" si="28"/>
        <v>0</v>
      </c>
      <c r="H123" s="4">
        <f t="shared" si="28"/>
        <v>0</v>
      </c>
      <c r="I123" s="4">
        <f t="shared" si="28"/>
        <v>0</v>
      </c>
      <c r="J123" s="4">
        <f t="shared" si="28"/>
        <v>1.3732725815023175</v>
      </c>
      <c r="K123" s="4">
        <f t="shared" si="28"/>
        <v>0.43621599647720694</v>
      </c>
      <c r="L123" s="4">
        <f t="shared" si="28"/>
        <v>1.809488577979524</v>
      </c>
      <c r="M123" s="4">
        <f t="shared" si="28"/>
        <v>22.045063970116626</v>
      </c>
      <c r="N123" s="4">
        <f t="shared" si="28"/>
        <v>7.3672034960594939</v>
      </c>
      <c r="O123" s="4">
        <f t="shared" si="28"/>
        <v>7.3672034960594939</v>
      </c>
      <c r="P123" s="4">
        <f t="shared" si="28"/>
        <v>0</v>
      </c>
    </row>
    <row r="124" spans="3:17" hidden="1" x14ac:dyDescent="0.55000000000000004">
      <c r="C124" s="1" t="s">
        <v>36</v>
      </c>
      <c r="D124" s="1" t="s">
        <v>71</v>
      </c>
      <c r="E124" s="1">
        <f>SIM用基本データ!D24</f>
        <v>0</v>
      </c>
      <c r="F124" s="20">
        <f>F97</f>
        <v>0</v>
      </c>
      <c r="G124" s="20">
        <f>G97</f>
        <v>0</v>
      </c>
      <c r="H124" s="20">
        <f>H97</f>
        <v>0</v>
      </c>
      <c r="I124" s="20">
        <f>I97</f>
        <v>0</v>
      </c>
      <c r="J124" s="20">
        <f t="shared" ref="J124:O124" si="29">E17</f>
        <v>0</v>
      </c>
      <c r="K124" s="20">
        <f t="shared" si="29"/>
        <v>0</v>
      </c>
      <c r="L124" s="20">
        <f t="shared" si="29"/>
        <v>0</v>
      </c>
      <c r="M124" s="20">
        <f t="shared" si="29"/>
        <v>60</v>
      </c>
      <c r="N124" s="20">
        <f t="shared" si="29"/>
        <v>20</v>
      </c>
      <c r="O124" s="20">
        <f t="shared" si="29"/>
        <v>20</v>
      </c>
      <c r="P124" s="20">
        <f>P97</f>
        <v>0</v>
      </c>
    </row>
    <row r="125" spans="3:17" hidden="1" x14ac:dyDescent="0.55000000000000004">
      <c r="E125" s="1">
        <f>SIM用基本データ!D25</f>
        <v>39.457259185079224</v>
      </c>
      <c r="F125" s="4">
        <f t="shared" ref="F125:P125" si="30">$E125*F124/100</f>
        <v>0</v>
      </c>
      <c r="G125" s="4">
        <f t="shared" si="30"/>
        <v>0</v>
      </c>
      <c r="H125" s="4">
        <f t="shared" si="30"/>
        <v>0</v>
      </c>
      <c r="I125" s="4">
        <f t="shared" si="30"/>
        <v>0</v>
      </c>
      <c r="J125" s="4">
        <f t="shared" si="30"/>
        <v>0</v>
      </c>
      <c r="K125" s="4">
        <f t="shared" si="30"/>
        <v>0</v>
      </c>
      <c r="L125" s="4">
        <f t="shared" si="30"/>
        <v>0</v>
      </c>
      <c r="M125" s="4">
        <f t="shared" si="30"/>
        <v>23.674355511047533</v>
      </c>
      <c r="N125" s="4">
        <f t="shared" si="30"/>
        <v>7.8914518370158451</v>
      </c>
      <c r="O125" s="4">
        <f t="shared" si="30"/>
        <v>7.8914518370158451</v>
      </c>
      <c r="P125" s="4">
        <f t="shared" si="30"/>
        <v>0</v>
      </c>
    </row>
    <row r="126" spans="3:17" hidden="1" x14ac:dyDescent="0.55000000000000004">
      <c r="E126" s="21" t="s">
        <v>45</v>
      </c>
      <c r="F126" s="16">
        <f t="shared" ref="F126:P126" si="31">F103+F105+F107+F109+F111+F113+F115+F117+F119+F121+F123+F125</f>
        <v>0</v>
      </c>
      <c r="G126" s="16">
        <f t="shared" si="31"/>
        <v>0</v>
      </c>
      <c r="H126" s="16">
        <f t="shared" si="31"/>
        <v>51.833803896696367</v>
      </c>
      <c r="I126" s="16">
        <f t="shared" si="31"/>
        <v>0</v>
      </c>
      <c r="J126" s="16">
        <f t="shared" si="31"/>
        <v>54.523581121817713</v>
      </c>
      <c r="K126" s="16">
        <f t="shared" si="31"/>
        <v>31.164893081764802</v>
      </c>
      <c r="L126" s="16">
        <f t="shared" si="31"/>
        <v>136.66573827344331</v>
      </c>
      <c r="M126" s="16">
        <f t="shared" si="31"/>
        <v>146.18374512521115</v>
      </c>
      <c r="N126" s="16">
        <f t="shared" si="31"/>
        <v>49.994282598609637</v>
      </c>
      <c r="O126" s="16">
        <f t="shared" si="31"/>
        <v>49.8613025120274</v>
      </c>
      <c r="P126" s="16">
        <f t="shared" si="31"/>
        <v>0</v>
      </c>
      <c r="Q126" s="1">
        <f>SUM(F126:P126)</f>
        <v>520.2273466095703</v>
      </c>
    </row>
    <row r="127" spans="3:17" hidden="1" x14ac:dyDescent="0.55000000000000004">
      <c r="E127" s="6" t="s">
        <v>74</v>
      </c>
      <c r="F127" s="15">
        <f t="shared" ref="F127:P127" si="32">F103+F105+F107</f>
        <v>0</v>
      </c>
      <c r="G127" s="15">
        <f t="shared" si="32"/>
        <v>0</v>
      </c>
      <c r="H127" s="15">
        <f t="shared" si="32"/>
        <v>36.499220000000008</v>
      </c>
      <c r="I127" s="15">
        <f t="shared" si="32"/>
        <v>0</v>
      </c>
      <c r="J127" s="15">
        <f t="shared" si="32"/>
        <v>13.256939999999998</v>
      </c>
      <c r="K127" s="15">
        <f t="shared" si="32"/>
        <v>13.212480000000001</v>
      </c>
      <c r="L127" s="15">
        <f t="shared" si="32"/>
        <v>62.000979999999991</v>
      </c>
      <c r="M127" s="15">
        <f t="shared" si="32"/>
        <v>3.32138</v>
      </c>
      <c r="N127" s="15">
        <f t="shared" si="32"/>
        <v>1.5476999999999999</v>
      </c>
      <c r="O127" s="15">
        <f t="shared" si="32"/>
        <v>1.4702799999999998</v>
      </c>
      <c r="P127" s="15">
        <f t="shared" si="32"/>
        <v>0</v>
      </c>
    </row>
    <row r="128" spans="3:17" hidden="1" x14ac:dyDescent="0.55000000000000004">
      <c r="E128" s="17" t="s">
        <v>35</v>
      </c>
      <c r="F128" s="11">
        <f t="shared" ref="F128:P128" si="33">F126-F127</f>
        <v>0</v>
      </c>
      <c r="G128" s="11">
        <f t="shared" si="33"/>
        <v>0</v>
      </c>
      <c r="H128" s="11">
        <f t="shared" si="33"/>
        <v>15.334583896696358</v>
      </c>
      <c r="I128" s="11">
        <f t="shared" si="33"/>
        <v>0</v>
      </c>
      <c r="J128" s="11">
        <f t="shared" si="33"/>
        <v>41.266641121817713</v>
      </c>
      <c r="K128" s="11">
        <f t="shared" si="33"/>
        <v>17.952413081764803</v>
      </c>
      <c r="L128" s="11">
        <f t="shared" si="33"/>
        <v>74.664758273443312</v>
      </c>
      <c r="M128" s="11">
        <f t="shared" si="33"/>
        <v>142.86236512521114</v>
      </c>
      <c r="N128" s="11">
        <f t="shared" si="33"/>
        <v>48.446582598609638</v>
      </c>
      <c r="O128" s="11">
        <f t="shared" si="33"/>
        <v>48.391022512027398</v>
      </c>
      <c r="P128" s="11">
        <f t="shared" si="33"/>
        <v>0</v>
      </c>
      <c r="Q128" s="1">
        <f>SUM(F128:P128)</f>
        <v>388.91836660957034</v>
      </c>
    </row>
    <row r="129" spans="1:18" hidden="1" x14ac:dyDescent="0.55000000000000004">
      <c r="E129" s="18" t="s">
        <v>62</v>
      </c>
      <c r="F129" s="19">
        <v>0</v>
      </c>
      <c r="G129" s="19">
        <v>0</v>
      </c>
      <c r="H129" s="19">
        <f>SIM用基本データ!H80</f>
        <v>103.85341610330372</v>
      </c>
      <c r="I129" s="19">
        <f>SIM用基本データ!I80</f>
        <v>0</v>
      </c>
      <c r="J129" s="19">
        <f>SIM用基本データ!J80</f>
        <v>152.54535887818224</v>
      </c>
      <c r="K129" s="19">
        <f>SIM用基本データ!K80</f>
        <v>62.047586918235197</v>
      </c>
      <c r="L129" s="19">
        <f>SIM用基本データ!L80</f>
        <v>86.335241726556688</v>
      </c>
      <c r="M129" s="19">
        <f>SIM用基本データ!M80</f>
        <v>13.137634874788858</v>
      </c>
      <c r="N129" s="19">
        <f>SIM用基本データ!N80</f>
        <v>4.5534174013903623</v>
      </c>
      <c r="O129" s="19">
        <f>SIM用基本データ!O80</f>
        <v>4.6089774879726022</v>
      </c>
      <c r="P129" s="19">
        <f>SIM用基本データ!P80</f>
        <v>0</v>
      </c>
      <c r="Q129" s="1">
        <f>SUM(F129:P129)</f>
        <v>427.08163339042966</v>
      </c>
    </row>
    <row r="130" spans="1:18" hidden="1" x14ac:dyDescent="0.55000000000000004">
      <c r="B130" s="1" t="s">
        <v>44</v>
      </c>
      <c r="F130" s="1">
        <f>SIM用基本データ!F35</f>
        <v>614</v>
      </c>
      <c r="G130" s="1">
        <f>SIM用基本データ!G35</f>
        <v>882</v>
      </c>
      <c r="H130" s="1">
        <f>SIM用基本データ!H35</f>
        <v>491</v>
      </c>
      <c r="I130" s="1">
        <f>SIM用基本データ!I35</f>
        <v>95</v>
      </c>
      <c r="J130" s="1">
        <f>SIM用基本データ!J35</f>
        <v>62</v>
      </c>
      <c r="K130" s="1">
        <f>SIM用基本データ!K35</f>
        <v>7</v>
      </c>
      <c r="L130" s="1">
        <f>SIM用基本データ!L35</f>
        <v>11</v>
      </c>
      <c r="M130" s="1">
        <f>SIM用基本データ!M35</f>
        <v>0</v>
      </c>
      <c r="N130" s="1">
        <f>SIM用基本データ!N35</f>
        <v>0</v>
      </c>
      <c r="O130" s="1">
        <f>SIM用基本データ!O35</f>
        <v>0</v>
      </c>
      <c r="P130" s="1">
        <f>SIM用基本データ!P35</f>
        <v>0</v>
      </c>
    </row>
    <row r="131" spans="1:18" hidden="1" x14ac:dyDescent="0.55000000000000004">
      <c r="B131" s="1" t="s">
        <v>85</v>
      </c>
      <c r="F131" s="1">
        <f t="shared" ref="F131:P131" si="34">F129+F130</f>
        <v>614</v>
      </c>
      <c r="G131" s="1">
        <f t="shared" si="34"/>
        <v>882</v>
      </c>
      <c r="H131" s="1">
        <f t="shared" si="34"/>
        <v>594.85341610330374</v>
      </c>
      <c r="I131" s="1">
        <f t="shared" si="34"/>
        <v>95</v>
      </c>
      <c r="J131" s="1">
        <f t="shared" si="34"/>
        <v>214.54535887818224</v>
      </c>
      <c r="K131" s="1">
        <f t="shared" si="34"/>
        <v>69.047586918235197</v>
      </c>
      <c r="L131" s="1">
        <f t="shared" si="34"/>
        <v>97.335241726556688</v>
      </c>
      <c r="M131" s="1">
        <f t="shared" si="34"/>
        <v>13.137634874788858</v>
      </c>
      <c r="N131" s="1">
        <f t="shared" si="34"/>
        <v>4.5534174013903623</v>
      </c>
      <c r="O131" s="1">
        <f t="shared" si="34"/>
        <v>4.6089774879726022</v>
      </c>
      <c r="P131" s="1">
        <f t="shared" si="34"/>
        <v>0</v>
      </c>
    </row>
    <row r="132" spans="1:18" hidden="1" x14ac:dyDescent="0.55000000000000004">
      <c r="B132" s="1" t="s">
        <v>92</v>
      </c>
      <c r="F132" s="1">
        <f t="shared" ref="F132:P132" si="35">F131+F128</f>
        <v>614</v>
      </c>
      <c r="G132" s="1">
        <f t="shared" si="35"/>
        <v>882</v>
      </c>
      <c r="H132" s="1">
        <f t="shared" si="35"/>
        <v>610.1880000000001</v>
      </c>
      <c r="I132" s="1">
        <f t="shared" si="35"/>
        <v>95</v>
      </c>
      <c r="J132" s="1">
        <f t="shared" si="35"/>
        <v>255.81199999999995</v>
      </c>
      <c r="K132" s="1">
        <f t="shared" si="35"/>
        <v>87</v>
      </c>
      <c r="L132" s="1">
        <f t="shared" si="35"/>
        <v>172</v>
      </c>
      <c r="M132" s="1">
        <f t="shared" si="35"/>
        <v>156</v>
      </c>
      <c r="N132" s="1">
        <f t="shared" si="35"/>
        <v>53</v>
      </c>
      <c r="O132" s="1">
        <f t="shared" si="35"/>
        <v>53</v>
      </c>
      <c r="P132" s="1">
        <f t="shared" si="35"/>
        <v>0</v>
      </c>
      <c r="Q132" s="1">
        <f>SUM(F132:P132)</f>
        <v>2978</v>
      </c>
    </row>
    <row r="133" spans="1:18" hidden="1" x14ac:dyDescent="0.55000000000000004">
      <c r="B133" s="1" t="s">
        <v>58</v>
      </c>
      <c r="E133" s="1">
        <f>SIM用基本データ!F38</f>
        <v>368</v>
      </c>
    </row>
    <row r="134" spans="1:18" hidden="1" x14ac:dyDescent="0.55000000000000004">
      <c r="B134" s="1" t="s">
        <v>95</v>
      </c>
      <c r="E134" s="1">
        <f>Q128+Q129</f>
        <v>816</v>
      </c>
    </row>
    <row r="135" spans="1:18" hidden="1" x14ac:dyDescent="0.55000000000000004">
      <c r="B135" s="1" t="s">
        <v>96</v>
      </c>
      <c r="F135" s="1">
        <f>E133-E134</f>
        <v>-448</v>
      </c>
    </row>
    <row r="136" spans="1:18" hidden="1" x14ac:dyDescent="0.55000000000000004">
      <c r="B136" s="1" t="s">
        <v>46</v>
      </c>
      <c r="F136" s="1">
        <f>F132+F135</f>
        <v>166</v>
      </c>
      <c r="G136" s="1">
        <f t="shared" ref="G136:P136" si="36">G132+G135</f>
        <v>882</v>
      </c>
      <c r="H136" s="1">
        <f t="shared" si="36"/>
        <v>610.1880000000001</v>
      </c>
      <c r="I136" s="1">
        <f t="shared" si="36"/>
        <v>95</v>
      </c>
      <c r="J136" s="1">
        <f t="shared" si="36"/>
        <v>255.81199999999995</v>
      </c>
      <c r="K136" s="1">
        <f t="shared" si="36"/>
        <v>87</v>
      </c>
      <c r="L136" s="1">
        <f t="shared" si="36"/>
        <v>172</v>
      </c>
      <c r="M136" s="1">
        <f t="shared" si="36"/>
        <v>156</v>
      </c>
      <c r="N136" s="1">
        <f t="shared" si="36"/>
        <v>53</v>
      </c>
      <c r="O136" s="1">
        <f t="shared" si="36"/>
        <v>53</v>
      </c>
      <c r="P136" s="1">
        <f t="shared" si="36"/>
        <v>0</v>
      </c>
      <c r="Q136" s="1">
        <f>SUM(F136:P136)</f>
        <v>2530</v>
      </c>
    </row>
    <row r="137" spans="1:18" hidden="1" x14ac:dyDescent="0.55000000000000004">
      <c r="B137" s="1" t="s">
        <v>98</v>
      </c>
      <c r="F137" s="1">
        <f t="shared" ref="F137:P137" si="37">F99*F136</f>
        <v>13612</v>
      </c>
      <c r="G137" s="1">
        <f t="shared" si="37"/>
        <v>66502.8</v>
      </c>
      <c r="H137" s="1">
        <f t="shared" si="37"/>
        <v>41980.934400000006</v>
      </c>
      <c r="I137" s="1">
        <f t="shared" si="37"/>
        <v>5966</v>
      </c>
      <c r="J137" s="1">
        <f t="shared" si="37"/>
        <v>16064.993599999996</v>
      </c>
      <c r="K137" s="1">
        <f t="shared" si="37"/>
        <v>5063.4000000000005</v>
      </c>
      <c r="L137" s="1">
        <f t="shared" si="37"/>
        <v>9614.7999999999993</v>
      </c>
      <c r="M137" s="1">
        <f t="shared" si="37"/>
        <v>8346</v>
      </c>
      <c r="N137" s="1">
        <f t="shared" si="37"/>
        <v>2713.6000000000004</v>
      </c>
      <c r="O137" s="1">
        <f t="shared" si="37"/>
        <v>2591.6999999999998</v>
      </c>
      <c r="P137" s="1">
        <f t="shared" si="37"/>
        <v>0</v>
      </c>
      <c r="Q137" s="1">
        <f>SUM(F137:P137)</f>
        <v>172456.228</v>
      </c>
    </row>
    <row r="138" spans="1:18" hidden="1" x14ac:dyDescent="0.55000000000000004"/>
    <row r="139" spans="1:18" hidden="1" x14ac:dyDescent="0.55000000000000004">
      <c r="B139" s="1" t="s">
        <v>97</v>
      </c>
    </row>
    <row r="140" spans="1:18" hidden="1" x14ac:dyDescent="0.55000000000000004">
      <c r="E140" s="1" t="s">
        <v>59</v>
      </c>
      <c r="F140" s="1" t="s">
        <v>55</v>
      </c>
      <c r="G140" s="1" t="s">
        <v>42</v>
      </c>
      <c r="H140" s="22" t="s">
        <v>51</v>
      </c>
      <c r="I140" s="1" t="s">
        <v>53</v>
      </c>
      <c r="J140" s="22" t="s">
        <v>107</v>
      </c>
      <c r="K140" s="1" t="s">
        <v>52</v>
      </c>
      <c r="L140" s="1" t="s">
        <v>54</v>
      </c>
      <c r="M140" s="1" t="s">
        <v>60</v>
      </c>
      <c r="N140" s="1" t="s">
        <v>26</v>
      </c>
      <c r="O140" s="22" t="s">
        <v>112</v>
      </c>
      <c r="P140" s="1" t="s">
        <v>61</v>
      </c>
      <c r="R140" s="1" t="s">
        <v>390</v>
      </c>
    </row>
    <row r="141" spans="1:18" hidden="1" x14ac:dyDescent="0.55000000000000004">
      <c r="D141" s="1" t="s">
        <v>23</v>
      </c>
      <c r="E141" s="1">
        <f>Q137</f>
        <v>172456.228</v>
      </c>
      <c r="F141" s="1">
        <f>SIM用基本データ!Q46</f>
        <v>178918.7</v>
      </c>
      <c r="G141" s="1">
        <f>F141-E141</f>
        <v>6462.4720000000088</v>
      </c>
      <c r="H141" s="1">
        <v>2.58E-2</v>
      </c>
      <c r="I141" s="1">
        <f>G141*H141</f>
        <v>166.73177760000024</v>
      </c>
      <c r="J141" s="1">
        <v>0.25</v>
      </c>
      <c r="K141" s="1">
        <f>I141*J141</f>
        <v>41.682944400000061</v>
      </c>
      <c r="L141" s="1">
        <f>K141*3.6/9.76</f>
        <v>15.374856540983631</v>
      </c>
      <c r="M141" s="1">
        <f>I141-K141</f>
        <v>125.04883320000019</v>
      </c>
      <c r="N141" s="1">
        <f>L141+M141</f>
        <v>140.42368974098383</v>
      </c>
      <c r="O141" s="1">
        <v>0.63</v>
      </c>
      <c r="P141" s="1">
        <f>N141*O141</f>
        <v>88.466924536819818</v>
      </c>
      <c r="R141" s="1">
        <v>88.466924536819818</v>
      </c>
    </row>
    <row r="142" spans="1:18" hidden="1" x14ac:dyDescent="0.55000000000000004">
      <c r="O142" s="4" t="s">
        <v>26</v>
      </c>
      <c r="P142" s="4">
        <f>SUM(P141:P141)</f>
        <v>88.466924536819818</v>
      </c>
      <c r="Q142" s="1" t="s">
        <v>211</v>
      </c>
    </row>
    <row r="143" spans="1:18" hidden="1" x14ac:dyDescent="0.55000000000000004">
      <c r="O143" s="1" t="s">
        <v>217</v>
      </c>
      <c r="P143" s="1">
        <v>253</v>
      </c>
      <c r="Q143" s="1" t="s">
        <v>211</v>
      </c>
    </row>
    <row r="144" spans="1:18" hidden="1" x14ac:dyDescent="0.55000000000000004">
      <c r="A144" s="4" t="s">
        <v>114</v>
      </c>
    </row>
    <row r="145" spans="1:10" hidden="1" x14ac:dyDescent="0.55000000000000004">
      <c r="A145" s="4" t="s">
        <v>76</v>
      </c>
    </row>
    <row r="146" spans="1:10" hidden="1" x14ac:dyDescent="0.55000000000000004">
      <c r="A146" s="4"/>
      <c r="C146" s="1" t="s">
        <v>119</v>
      </c>
      <c r="E146" s="14"/>
      <c r="F146" s="14">
        <v>0.94799999999999995</v>
      </c>
    </row>
    <row r="147" spans="1:10" hidden="1" x14ac:dyDescent="0.55000000000000004">
      <c r="C147" s="1" t="s">
        <v>116</v>
      </c>
      <c r="F147" s="14"/>
    </row>
    <row r="148" spans="1:10" hidden="1" x14ac:dyDescent="0.55000000000000004">
      <c r="D148" s="1" t="s">
        <v>123</v>
      </c>
      <c r="F148" s="14"/>
    </row>
    <row r="149" spans="1:10" hidden="1" x14ac:dyDescent="0.55000000000000004">
      <c r="D149" s="1" t="s">
        <v>117</v>
      </c>
      <c r="F149" s="14"/>
    </row>
    <row r="150" spans="1:10" hidden="1" x14ac:dyDescent="0.55000000000000004">
      <c r="D150" s="1" t="s">
        <v>124</v>
      </c>
      <c r="E150" s="67"/>
      <c r="F150" s="14"/>
    </row>
    <row r="151" spans="1:10" hidden="1" x14ac:dyDescent="0.55000000000000004">
      <c r="C151" s="1" t="s">
        <v>118</v>
      </c>
      <c r="F151" s="14"/>
    </row>
    <row r="152" spans="1:10" hidden="1" x14ac:dyDescent="0.55000000000000004">
      <c r="F152" s="1" t="s">
        <v>41</v>
      </c>
      <c r="G152" s="1" t="s">
        <v>27</v>
      </c>
      <c r="H152" s="1" t="s">
        <v>28</v>
      </c>
      <c r="I152" s="1" t="s">
        <v>29</v>
      </c>
      <c r="J152" s="1" t="s">
        <v>30</v>
      </c>
    </row>
    <row r="153" spans="1:10" hidden="1" x14ac:dyDescent="0.55000000000000004">
      <c r="D153" s="1" t="s">
        <v>23</v>
      </c>
      <c r="E153" s="14">
        <f>E31*9*(1-F146)</f>
        <v>11.70000000000001</v>
      </c>
      <c r="F153" s="67"/>
      <c r="G153" s="67"/>
      <c r="H153" s="67"/>
    </row>
    <row r="154" spans="1:10" hidden="1" x14ac:dyDescent="0.55000000000000004">
      <c r="F154" s="1">
        <f>$E$153*D38/($D$38+$F$38+$E$38)</f>
        <v>0</v>
      </c>
      <c r="G154" s="1">
        <f>$E$153*E38/($D$38+$F$38+$E$38)</f>
        <v>11.511999833125209</v>
      </c>
      <c r="H154" s="1">
        <f>$E$153*F38/($D$38+$F$38+$E$38)</f>
        <v>0.18800016687480117</v>
      </c>
    </row>
    <row r="155" spans="1:10" hidden="1" x14ac:dyDescent="0.55000000000000004">
      <c r="E155" s="1" t="s">
        <v>121</v>
      </c>
      <c r="F155" s="1">
        <f>F154*-1</f>
        <v>0</v>
      </c>
      <c r="G155" s="1">
        <f>F154-G154</f>
        <v>-11.511999833125209</v>
      </c>
      <c r="H155" s="1">
        <f>G154-H154</f>
        <v>11.323999666250408</v>
      </c>
      <c r="J155" s="1">
        <f>H154</f>
        <v>0.18800016687480117</v>
      </c>
    </row>
    <row r="156" spans="1:10" hidden="1" x14ac:dyDescent="0.55000000000000004">
      <c r="C156" s="1" t="s">
        <v>122</v>
      </c>
    </row>
    <row r="157" spans="1:10" hidden="1" x14ac:dyDescent="0.55000000000000004">
      <c r="F157" s="1" t="s">
        <v>41</v>
      </c>
      <c r="G157" s="1" t="s">
        <v>27</v>
      </c>
      <c r="H157" s="1" t="s">
        <v>28</v>
      </c>
      <c r="I157" s="1" t="s">
        <v>29</v>
      </c>
      <c r="J157" s="1" t="s">
        <v>30</v>
      </c>
    </row>
    <row r="158" spans="1:10" hidden="1" x14ac:dyDescent="0.55000000000000004">
      <c r="D158" s="1" t="s">
        <v>23</v>
      </c>
      <c r="E158" s="1" t="s">
        <v>120</v>
      </c>
      <c r="F158" s="67"/>
      <c r="G158" s="67"/>
      <c r="H158" s="67"/>
    </row>
    <row r="159" spans="1:10" hidden="1" x14ac:dyDescent="0.55000000000000004">
      <c r="E159" s="1">
        <f>E31*9*(1-F146)</f>
        <v>11.70000000000001</v>
      </c>
      <c r="F159" s="1">
        <f>$E$159*D40/($D$40+$E$40+$F$40)</f>
        <v>0</v>
      </c>
      <c r="G159" s="1">
        <f>$E$159*E40/($D$40+$E$40+$F$40)</f>
        <v>11.511999833125209</v>
      </c>
      <c r="H159" s="1">
        <f>$E$159*F40/($D$40+$E$40+$F$40)</f>
        <v>0.18800016687480117</v>
      </c>
    </row>
    <row r="160" spans="1:10" hidden="1" x14ac:dyDescent="0.55000000000000004">
      <c r="E160" s="1" t="s">
        <v>121</v>
      </c>
      <c r="F160" s="1">
        <f>F159*-1</f>
        <v>0</v>
      </c>
      <c r="G160" s="1">
        <f>G159*-1</f>
        <v>-11.511999833125209</v>
      </c>
      <c r="H160" s="1">
        <f>H159*-1</f>
        <v>-0.18800016687480117</v>
      </c>
      <c r="J160" s="1">
        <f>E159</f>
        <v>11.70000000000001</v>
      </c>
    </row>
    <row r="161" spans="1:18" hidden="1" x14ac:dyDescent="0.55000000000000004"/>
    <row r="162" spans="1:18" hidden="1" x14ac:dyDescent="0.55000000000000004">
      <c r="F162" s="1" t="s">
        <v>41</v>
      </c>
      <c r="G162" s="1" t="s">
        <v>27</v>
      </c>
      <c r="H162" s="1" t="s">
        <v>28</v>
      </c>
      <c r="I162" s="1" t="s">
        <v>29</v>
      </c>
      <c r="J162" s="1" t="s">
        <v>30</v>
      </c>
      <c r="K162" s="1" t="s">
        <v>39</v>
      </c>
      <c r="L162" s="1" t="s">
        <v>31</v>
      </c>
      <c r="M162" s="1" t="s">
        <v>32</v>
      </c>
      <c r="N162" s="1" t="s">
        <v>33</v>
      </c>
      <c r="O162" s="1" t="s">
        <v>43</v>
      </c>
      <c r="P162" s="1" t="s">
        <v>34</v>
      </c>
    </row>
    <row r="163" spans="1:18" hidden="1" x14ac:dyDescent="0.55000000000000004">
      <c r="B163" s="4" t="s">
        <v>23</v>
      </c>
      <c r="C163" s="1" t="s">
        <v>82</v>
      </c>
      <c r="F163" s="1">
        <f>SIM用基本データ!F31</f>
        <v>82</v>
      </c>
      <c r="G163" s="1">
        <f>SIM用基本データ!G31</f>
        <v>75.400000000000006</v>
      </c>
      <c r="H163" s="1">
        <f>SIM用基本データ!H31</f>
        <v>68.8</v>
      </c>
      <c r="I163" s="1">
        <f>SIM用基本データ!I31</f>
        <v>62.8</v>
      </c>
      <c r="J163" s="1">
        <f>SIM用基本データ!J31</f>
        <v>62.8</v>
      </c>
      <c r="K163" s="1">
        <f>SIM用基本データ!K31</f>
        <v>58.2</v>
      </c>
      <c r="L163" s="1">
        <f>SIM用基本データ!L31</f>
        <v>55.9</v>
      </c>
      <c r="M163" s="1">
        <f>SIM用基本データ!M31</f>
        <v>53.5</v>
      </c>
      <c r="N163" s="1">
        <f>SIM用基本データ!N31</f>
        <v>51.2</v>
      </c>
      <c r="O163" s="1">
        <f>SIM用基本データ!O31</f>
        <v>48.9</v>
      </c>
      <c r="P163" s="1">
        <f>SIM用基本データ!P31</f>
        <v>0</v>
      </c>
      <c r="Q163" s="5"/>
    </row>
    <row r="164" spans="1:18" hidden="1" x14ac:dyDescent="0.55000000000000004">
      <c r="A164" s="4"/>
      <c r="C164" s="1" t="s">
        <v>72</v>
      </c>
      <c r="F164" s="1">
        <f>SIM用基本データ!F55</f>
        <v>614</v>
      </c>
      <c r="G164" s="1">
        <f>SIM用基本データ!G55</f>
        <v>874.51199999999994</v>
      </c>
      <c r="H164" s="1">
        <f>SIM用基本データ!H55</f>
        <v>498.488</v>
      </c>
      <c r="I164" s="1">
        <f>SIM用基本データ!I55</f>
        <v>95</v>
      </c>
      <c r="J164" s="1">
        <f>SIM用基本データ!J55</f>
        <v>62</v>
      </c>
      <c r="K164" s="1">
        <f>SIM用基本データ!K55</f>
        <v>7</v>
      </c>
      <c r="L164" s="1">
        <f>SIM用基本データ!L55</f>
        <v>11</v>
      </c>
      <c r="M164" s="1">
        <f>SIM用基本データ!M55</f>
        <v>0</v>
      </c>
      <c r="N164" s="1">
        <f>SIM用基本データ!N55</f>
        <v>0</v>
      </c>
      <c r="O164" s="1">
        <f>SIM用基本データ!O55</f>
        <v>0</v>
      </c>
      <c r="P164" s="1">
        <f>SIM用基本データ!P55</f>
        <v>0</v>
      </c>
      <c r="Q164" s="1">
        <f>SUM(F164:P164)</f>
        <v>2162</v>
      </c>
    </row>
    <row r="165" spans="1:18" hidden="1" x14ac:dyDescent="0.55000000000000004">
      <c r="C165" s="1" t="s">
        <v>132</v>
      </c>
      <c r="F165" s="1">
        <f>IF($C$35="①",F155,F160)</f>
        <v>0</v>
      </c>
      <c r="G165" s="1">
        <f>IF($C$35="①",G155,G160)</f>
        <v>-11.511999833125209</v>
      </c>
      <c r="H165" s="1">
        <f>IF($C$35="①",H155,H160)</f>
        <v>11.323999666250408</v>
      </c>
      <c r="J165" s="1">
        <f>IF($C$35="①",J155,J160)</f>
        <v>0.18800016687480117</v>
      </c>
    </row>
    <row r="166" spans="1:18" hidden="1" x14ac:dyDescent="0.55000000000000004">
      <c r="C166" s="1" t="s">
        <v>46</v>
      </c>
      <c r="F166" s="1">
        <f t="shared" ref="F166:P166" si="38">F164+F165</f>
        <v>614</v>
      </c>
      <c r="G166" s="1">
        <f t="shared" si="38"/>
        <v>863.00000016687477</v>
      </c>
      <c r="H166" s="1">
        <f t="shared" si="38"/>
        <v>509.81199966625041</v>
      </c>
      <c r="I166" s="1">
        <f t="shared" si="38"/>
        <v>95</v>
      </c>
      <c r="J166" s="1">
        <f t="shared" si="38"/>
        <v>62.188000166874801</v>
      </c>
      <c r="K166" s="1">
        <f t="shared" si="38"/>
        <v>7</v>
      </c>
      <c r="L166" s="1">
        <f t="shared" si="38"/>
        <v>11</v>
      </c>
      <c r="M166" s="1">
        <f t="shared" si="38"/>
        <v>0</v>
      </c>
      <c r="N166" s="1">
        <f t="shared" si="38"/>
        <v>0</v>
      </c>
      <c r="O166" s="1">
        <f t="shared" si="38"/>
        <v>0</v>
      </c>
      <c r="P166" s="1">
        <f t="shared" si="38"/>
        <v>0</v>
      </c>
      <c r="Q166" s="1">
        <f>SUM(F166:P166)</f>
        <v>2161.9999999999995</v>
      </c>
    </row>
    <row r="167" spans="1:18" hidden="1" x14ac:dyDescent="0.55000000000000004">
      <c r="C167" s="1" t="s">
        <v>131</v>
      </c>
      <c r="F167" s="1">
        <f>F163*F166</f>
        <v>50348</v>
      </c>
      <c r="G167" s="1">
        <f t="shared" ref="G167:P167" si="39">G163*G166</f>
        <v>65070.200012582362</v>
      </c>
      <c r="H167" s="1">
        <f t="shared" si="39"/>
        <v>35075.065577038025</v>
      </c>
      <c r="I167" s="1">
        <f t="shared" si="39"/>
        <v>5966</v>
      </c>
      <c r="J167" s="1">
        <f t="shared" si="39"/>
        <v>3905.4064104797371</v>
      </c>
      <c r="K167" s="1">
        <f t="shared" si="39"/>
        <v>407.40000000000003</v>
      </c>
      <c r="L167" s="1">
        <f t="shared" si="39"/>
        <v>614.9</v>
      </c>
      <c r="M167" s="1">
        <f t="shared" si="39"/>
        <v>0</v>
      </c>
      <c r="N167" s="1">
        <f t="shared" si="39"/>
        <v>0</v>
      </c>
      <c r="O167" s="1">
        <f t="shared" si="39"/>
        <v>0</v>
      </c>
      <c r="P167" s="1">
        <f t="shared" si="39"/>
        <v>0</v>
      </c>
      <c r="Q167" s="1">
        <f>SUM(F167:P167)</f>
        <v>161386.97200010013</v>
      </c>
    </row>
    <row r="168" spans="1:18" hidden="1" x14ac:dyDescent="0.55000000000000004"/>
    <row r="169" spans="1:18" hidden="1" x14ac:dyDescent="0.55000000000000004">
      <c r="B169" s="1" t="s">
        <v>97</v>
      </c>
    </row>
    <row r="170" spans="1:18" hidden="1" x14ac:dyDescent="0.55000000000000004">
      <c r="E170" s="1" t="s">
        <v>59</v>
      </c>
      <c r="F170" s="1" t="s">
        <v>55</v>
      </c>
      <c r="G170" s="1" t="s">
        <v>42</v>
      </c>
      <c r="H170" s="22" t="s">
        <v>51</v>
      </c>
      <c r="I170" s="1" t="s">
        <v>53</v>
      </c>
      <c r="J170" s="22" t="s">
        <v>107</v>
      </c>
      <c r="K170" s="1" t="s">
        <v>52</v>
      </c>
      <c r="L170" s="1" t="s">
        <v>54</v>
      </c>
      <c r="M170" s="1" t="s">
        <v>60</v>
      </c>
      <c r="N170" s="1" t="s">
        <v>26</v>
      </c>
      <c r="O170" s="22" t="s">
        <v>112</v>
      </c>
      <c r="P170" s="1" t="s">
        <v>61</v>
      </c>
    </row>
    <row r="171" spans="1:18" hidden="1" x14ac:dyDescent="0.55000000000000004">
      <c r="D171" s="1" t="s">
        <v>23</v>
      </c>
      <c r="E171" s="1">
        <f>Q167</f>
        <v>161386.97200010013</v>
      </c>
      <c r="F171" s="1">
        <f>SIM用基本データ!Q59</f>
        <v>161513.5</v>
      </c>
      <c r="G171" s="1">
        <f>F171-E171</f>
        <v>126.52799989987398</v>
      </c>
      <c r="H171" s="1">
        <f>H141</f>
        <v>2.58E-2</v>
      </c>
      <c r="I171" s="1">
        <f>G171*H171</f>
        <v>3.2644223974167486</v>
      </c>
      <c r="J171" s="1">
        <v>0.26</v>
      </c>
      <c r="K171" s="1">
        <f>I171*J171</f>
        <v>0.84874982332835469</v>
      </c>
      <c r="L171" s="1">
        <f>K171*3.6/9.76</f>
        <v>0.31306345942439318</v>
      </c>
      <c r="M171" s="1">
        <f>I171-K171</f>
        <v>2.415672574088394</v>
      </c>
      <c r="N171" s="1">
        <f>L171+M171</f>
        <v>2.7287360335127873</v>
      </c>
      <c r="O171" s="1">
        <v>0.63</v>
      </c>
      <c r="P171" s="1">
        <f>N171*O171</f>
        <v>1.7191037011130559</v>
      </c>
      <c r="R171" s="1">
        <v>1.7191037024733222</v>
      </c>
    </row>
    <row r="172" spans="1:18" hidden="1" x14ac:dyDescent="0.55000000000000004">
      <c r="H172" s="1" t="s">
        <v>208</v>
      </c>
      <c r="O172" s="1" t="s">
        <v>26</v>
      </c>
      <c r="P172" s="4">
        <f>SUM(P171:P171)</f>
        <v>1.7191037011130559</v>
      </c>
      <c r="Q172" s="1" t="s">
        <v>211</v>
      </c>
    </row>
    <row r="173" spans="1:18" hidden="1" x14ac:dyDescent="0.55000000000000004">
      <c r="P173" s="5"/>
    </row>
    <row r="174" spans="1:18" hidden="1" x14ac:dyDescent="0.55000000000000004">
      <c r="A174" s="4" t="s">
        <v>709</v>
      </c>
    </row>
    <row r="175" spans="1:18" hidden="1" x14ac:dyDescent="0.55000000000000004">
      <c r="D175" s="1" t="s">
        <v>41</v>
      </c>
      <c r="E175" s="1" t="s">
        <v>27</v>
      </c>
      <c r="F175" s="1" t="s">
        <v>28</v>
      </c>
      <c r="G175" s="1" t="s">
        <v>29</v>
      </c>
      <c r="H175" s="1" t="s">
        <v>30</v>
      </c>
      <c r="I175" s="1" t="s">
        <v>39</v>
      </c>
      <c r="J175" s="1" t="s">
        <v>31</v>
      </c>
      <c r="K175" s="1" t="s">
        <v>32</v>
      </c>
      <c r="L175" s="1" t="s">
        <v>33</v>
      </c>
      <c r="M175" s="1" t="s">
        <v>43</v>
      </c>
      <c r="N175" s="1" t="s">
        <v>34</v>
      </c>
      <c r="O175" s="2"/>
    </row>
    <row r="176" spans="1:18" hidden="1" x14ac:dyDescent="0.55000000000000004">
      <c r="B176" s="1" t="s">
        <v>692</v>
      </c>
      <c r="D176" s="1">
        <v>82</v>
      </c>
      <c r="E176" s="1">
        <v>75.400000000000006</v>
      </c>
      <c r="F176" s="10">
        <v>68.8</v>
      </c>
      <c r="G176" s="10">
        <v>62.8</v>
      </c>
      <c r="H176" s="10">
        <v>62.8</v>
      </c>
      <c r="I176" s="10">
        <v>58.2</v>
      </c>
      <c r="J176" s="10">
        <v>55.9</v>
      </c>
      <c r="K176" s="1">
        <v>53.5</v>
      </c>
      <c r="L176" s="1">
        <v>51.2</v>
      </c>
      <c r="M176" s="1">
        <v>48.9</v>
      </c>
      <c r="N176" s="1">
        <v>0</v>
      </c>
    </row>
    <row r="177" spans="1:17" hidden="1" x14ac:dyDescent="0.55000000000000004">
      <c r="D177" s="1">
        <v>401.07647058823534</v>
      </c>
      <c r="E177" s="1">
        <v>870.48800000000006</v>
      </c>
      <c r="F177" s="23">
        <v>517.65858389669631</v>
      </c>
      <c r="G177" s="23">
        <v>95</v>
      </c>
      <c r="H177" s="23">
        <v>103.45464112181776</v>
      </c>
      <c r="I177" s="23">
        <v>24.952413081764803</v>
      </c>
      <c r="J177" s="23">
        <v>85.664758273443312</v>
      </c>
      <c r="K177" s="14">
        <v>142.86236512521114</v>
      </c>
      <c r="L177" s="14">
        <v>48.446582598609638</v>
      </c>
      <c r="M177" s="14">
        <v>48.391022512027398</v>
      </c>
      <c r="N177" s="14">
        <v>0</v>
      </c>
      <c r="O177" s="14">
        <f>SUM(D177:N177)</f>
        <v>2337.9948371978053</v>
      </c>
      <c r="P177" s="14"/>
      <c r="Q177" s="14"/>
    </row>
    <row r="178" spans="1:17" hidden="1" x14ac:dyDescent="0.55000000000000004">
      <c r="B178" s="1" t="s">
        <v>693</v>
      </c>
      <c r="D178" s="1">
        <f>SIM用基本データ!Q73</f>
        <v>2530</v>
      </c>
      <c r="F178" s="23"/>
      <c r="G178" s="23"/>
      <c r="H178" s="23"/>
      <c r="I178" s="23"/>
      <c r="J178" s="23"/>
      <c r="K178" s="14"/>
      <c r="L178" s="14"/>
      <c r="M178" s="14"/>
      <c r="N178" s="14"/>
      <c r="O178" s="14"/>
      <c r="P178" s="14"/>
      <c r="Q178" s="14"/>
    </row>
    <row r="179" spans="1:17" hidden="1" x14ac:dyDescent="0.55000000000000004">
      <c r="B179" s="1" t="s">
        <v>694</v>
      </c>
      <c r="D179" s="1">
        <f>D178-O177</f>
        <v>192.00516280219472</v>
      </c>
      <c r="F179" s="23"/>
      <c r="G179" s="23"/>
      <c r="H179" s="23"/>
      <c r="I179" s="23"/>
      <c r="J179" s="23"/>
      <c r="K179" s="14"/>
      <c r="L179" s="14"/>
      <c r="M179" s="14"/>
      <c r="N179" s="14"/>
      <c r="O179" s="14"/>
      <c r="P179" s="14"/>
      <c r="Q179" s="14"/>
    </row>
    <row r="180" spans="1:17" hidden="1" x14ac:dyDescent="0.55000000000000004">
      <c r="B180" s="1" t="s">
        <v>691</v>
      </c>
      <c r="D180" s="1">
        <f>Q128</f>
        <v>388.91836660957034</v>
      </c>
      <c r="F180" s="23"/>
      <c r="G180" s="23"/>
      <c r="H180" s="23"/>
      <c r="I180" s="23"/>
      <c r="J180" s="23"/>
      <c r="K180" s="14"/>
      <c r="L180" s="14"/>
      <c r="M180" s="14"/>
      <c r="N180" s="14"/>
      <c r="O180" s="14"/>
      <c r="P180" s="14"/>
      <c r="Q180" s="14"/>
    </row>
    <row r="181" spans="1:17" hidden="1" x14ac:dyDescent="0.55000000000000004">
      <c r="B181" s="1" t="s">
        <v>695</v>
      </c>
      <c r="D181" s="1">
        <f>D180-D179</f>
        <v>196.91320380737562</v>
      </c>
      <c r="F181" s="13"/>
      <c r="G181" s="13"/>
      <c r="H181" s="13"/>
      <c r="I181" s="13"/>
      <c r="J181" s="13"/>
    </row>
    <row r="182" spans="1:17" hidden="1" x14ac:dyDescent="0.55000000000000004">
      <c r="B182" s="1" t="s">
        <v>696</v>
      </c>
      <c r="D182" s="1">
        <f>D177-D181</f>
        <v>204.16326678085971</v>
      </c>
      <c r="E182" s="1">
        <f t="shared" ref="E182:N182" si="40">E177-E181</f>
        <v>870.48800000000006</v>
      </c>
      <c r="F182" s="1">
        <f t="shared" si="40"/>
        <v>517.65858389669631</v>
      </c>
      <c r="G182" s="1">
        <f t="shared" si="40"/>
        <v>95</v>
      </c>
      <c r="H182" s="1">
        <f t="shared" si="40"/>
        <v>103.45464112181776</v>
      </c>
      <c r="I182" s="1">
        <f t="shared" si="40"/>
        <v>24.952413081764803</v>
      </c>
      <c r="J182" s="1">
        <f t="shared" si="40"/>
        <v>85.664758273443312</v>
      </c>
      <c r="K182" s="1">
        <f t="shared" si="40"/>
        <v>142.86236512521114</v>
      </c>
      <c r="L182" s="1">
        <f t="shared" si="40"/>
        <v>48.446582598609638</v>
      </c>
      <c r="M182" s="1">
        <f t="shared" si="40"/>
        <v>48.391022512027398</v>
      </c>
      <c r="N182" s="1">
        <f t="shared" si="40"/>
        <v>0</v>
      </c>
    </row>
    <row r="183" spans="1:17" hidden="1" x14ac:dyDescent="0.55000000000000004">
      <c r="B183" s="1" t="s">
        <v>697</v>
      </c>
      <c r="D183" s="1">
        <f>F128</f>
        <v>0</v>
      </c>
      <c r="E183" s="1">
        <f t="shared" ref="E183:N183" si="41">G128</f>
        <v>0</v>
      </c>
      <c r="F183" s="1">
        <f t="shared" si="41"/>
        <v>15.334583896696358</v>
      </c>
      <c r="G183" s="1">
        <f t="shared" si="41"/>
        <v>0</v>
      </c>
      <c r="H183" s="1">
        <f t="shared" si="41"/>
        <v>41.266641121817713</v>
      </c>
      <c r="I183" s="1">
        <f t="shared" si="41"/>
        <v>17.952413081764803</v>
      </c>
      <c r="J183" s="1">
        <f t="shared" si="41"/>
        <v>74.664758273443312</v>
      </c>
      <c r="K183" s="1">
        <f t="shared" si="41"/>
        <v>142.86236512521114</v>
      </c>
      <c r="L183" s="1">
        <f t="shared" si="41"/>
        <v>48.446582598609638</v>
      </c>
      <c r="M183" s="1">
        <f t="shared" si="41"/>
        <v>48.391022512027398</v>
      </c>
      <c r="N183" s="1">
        <f t="shared" si="41"/>
        <v>0</v>
      </c>
      <c r="O183" s="1">
        <f>SUM(D183:N183)</f>
        <v>388.91836660957034</v>
      </c>
    </row>
    <row r="184" spans="1:17" hidden="1" x14ac:dyDescent="0.55000000000000004">
      <c r="B184" s="1" t="s">
        <v>698</v>
      </c>
      <c r="D184" s="1">
        <f>D182+D183</f>
        <v>204.16326678085971</v>
      </c>
      <c r="E184" s="1">
        <f t="shared" ref="E184:N184" si="42">E182+E183</f>
        <v>870.48800000000006</v>
      </c>
      <c r="F184" s="1">
        <f t="shared" si="42"/>
        <v>532.99316779339267</v>
      </c>
      <c r="G184" s="1">
        <f t="shared" si="42"/>
        <v>95</v>
      </c>
      <c r="H184" s="1">
        <f t="shared" si="42"/>
        <v>144.72128224363547</v>
      </c>
      <c r="I184" s="1">
        <f t="shared" si="42"/>
        <v>42.904826163529606</v>
      </c>
      <c r="J184" s="1">
        <f t="shared" si="42"/>
        <v>160.32951654688662</v>
      </c>
      <c r="K184" s="1">
        <f t="shared" si="42"/>
        <v>285.72473025042228</v>
      </c>
      <c r="L184" s="1">
        <f t="shared" si="42"/>
        <v>96.893165197219275</v>
      </c>
      <c r="M184" s="1">
        <f t="shared" si="42"/>
        <v>96.782045024054796</v>
      </c>
      <c r="N184" s="1">
        <f t="shared" si="42"/>
        <v>0</v>
      </c>
      <c r="O184" s="1">
        <f>SUM(D184:N184)</f>
        <v>2530.0000000000005</v>
      </c>
    </row>
    <row r="185" spans="1:17" hidden="1" x14ac:dyDescent="0.55000000000000004">
      <c r="B185" s="1" t="s">
        <v>699</v>
      </c>
      <c r="D185" s="1">
        <f>F165</f>
        <v>0</v>
      </c>
      <c r="E185" s="1">
        <f t="shared" ref="E185:H185" si="43">G165</f>
        <v>-11.511999833125209</v>
      </c>
      <c r="F185" s="1">
        <f t="shared" si="43"/>
        <v>11.323999666250408</v>
      </c>
      <c r="G185" s="1">
        <f t="shared" si="43"/>
        <v>0</v>
      </c>
      <c r="H185" s="1">
        <f t="shared" si="43"/>
        <v>0.18800016687480117</v>
      </c>
      <c r="I185" s="4"/>
      <c r="J185" s="4"/>
    </row>
    <row r="186" spans="1:17" hidden="1" x14ac:dyDescent="0.55000000000000004">
      <c r="B186" s="1" t="s">
        <v>698</v>
      </c>
      <c r="D186" s="1">
        <f>D184+D185</f>
        <v>204.16326678085971</v>
      </c>
      <c r="E186" s="1">
        <f t="shared" ref="E186:N186" si="44">E184+E185</f>
        <v>858.97600016687488</v>
      </c>
      <c r="F186" s="1">
        <f t="shared" si="44"/>
        <v>544.31716745964309</v>
      </c>
      <c r="G186" s="1">
        <f t="shared" si="44"/>
        <v>95</v>
      </c>
      <c r="H186" s="1">
        <f t="shared" si="44"/>
        <v>144.90928241051029</v>
      </c>
      <c r="I186" s="1">
        <f t="shared" si="44"/>
        <v>42.904826163529606</v>
      </c>
      <c r="J186" s="1">
        <f t="shared" si="44"/>
        <v>160.32951654688662</v>
      </c>
      <c r="K186" s="1">
        <f t="shared" si="44"/>
        <v>285.72473025042228</v>
      </c>
      <c r="L186" s="1">
        <f t="shared" si="44"/>
        <v>96.893165197219275</v>
      </c>
      <c r="M186" s="1">
        <f t="shared" si="44"/>
        <v>96.782045024054796</v>
      </c>
      <c r="N186" s="1">
        <f t="shared" si="44"/>
        <v>0</v>
      </c>
      <c r="O186" s="1">
        <f>SUM(D186:N186)</f>
        <v>2530.0000000000005</v>
      </c>
    </row>
    <row r="187" spans="1:17" hidden="1" x14ac:dyDescent="0.55000000000000004">
      <c r="B187" s="1" t="s">
        <v>685</v>
      </c>
      <c r="D187" s="1">
        <f>D176*D186</f>
        <v>16741.387876030498</v>
      </c>
      <c r="E187" s="1">
        <f t="shared" ref="E187:N187" si="45">E176*E186</f>
        <v>64766.79041258237</v>
      </c>
      <c r="F187" s="1">
        <f t="shared" si="45"/>
        <v>37449.021121223443</v>
      </c>
      <c r="G187" s="1">
        <f t="shared" si="45"/>
        <v>5966</v>
      </c>
      <c r="H187" s="1">
        <f t="shared" si="45"/>
        <v>9100.3029353800448</v>
      </c>
      <c r="I187" s="1">
        <f t="shared" si="45"/>
        <v>2497.0608827174233</v>
      </c>
      <c r="J187" s="1">
        <f t="shared" si="45"/>
        <v>8962.4199749709624</v>
      </c>
      <c r="K187" s="1">
        <f t="shared" si="45"/>
        <v>15286.273068397591</v>
      </c>
      <c r="L187" s="1">
        <f t="shared" si="45"/>
        <v>4960.9300580976269</v>
      </c>
      <c r="M187" s="1">
        <f t="shared" si="45"/>
        <v>4732.6420016762795</v>
      </c>
      <c r="N187" s="1">
        <f t="shared" si="45"/>
        <v>0</v>
      </c>
      <c r="O187" s="1">
        <f>SUM(D187:N187)</f>
        <v>170462.82833107622</v>
      </c>
    </row>
    <row r="188" spans="1:17" hidden="1" x14ac:dyDescent="0.55000000000000004">
      <c r="F188" s="10"/>
      <c r="G188" s="10"/>
      <c r="H188" s="10"/>
    </row>
    <row r="189" spans="1:17" hidden="1" x14ac:dyDescent="0.55000000000000004">
      <c r="A189" s="4" t="s">
        <v>710</v>
      </c>
      <c r="F189" s="4"/>
      <c r="G189" s="4"/>
      <c r="H189" s="4"/>
      <c r="I189" s="4"/>
      <c r="J189" s="4"/>
    </row>
    <row r="190" spans="1:17" hidden="1" x14ac:dyDescent="0.55000000000000004">
      <c r="A190" s="4"/>
      <c r="B190" s="1" t="s">
        <v>716</v>
      </c>
      <c r="F190" s="4"/>
      <c r="G190" s="4"/>
      <c r="H190" s="4"/>
      <c r="I190" s="4"/>
      <c r="J190" s="4"/>
    </row>
    <row r="191" spans="1:17" hidden="1" x14ac:dyDescent="0.55000000000000004">
      <c r="A191" s="4"/>
      <c r="B191" s="1" t="s">
        <v>717</v>
      </c>
      <c r="C191" s="1">
        <v>39.799999999999997</v>
      </c>
      <c r="F191" s="4"/>
      <c r="G191" s="4"/>
      <c r="H191" s="4"/>
      <c r="I191" s="4"/>
      <c r="J191" s="4"/>
    </row>
    <row r="192" spans="1:17" hidden="1" x14ac:dyDescent="0.55000000000000004">
      <c r="A192" s="4"/>
      <c r="F192" s="4"/>
      <c r="G192" s="4"/>
      <c r="H192" s="4"/>
      <c r="I192" s="4"/>
      <c r="J192" s="4"/>
    </row>
    <row r="193" spans="2:17" hidden="1" x14ac:dyDescent="0.55000000000000004">
      <c r="D193" s="1" t="s">
        <v>41</v>
      </c>
      <c r="E193" s="1" t="s">
        <v>27</v>
      </c>
      <c r="F193" s="1" t="s">
        <v>28</v>
      </c>
      <c r="G193" s="1" t="s">
        <v>29</v>
      </c>
      <c r="H193" s="1" t="s">
        <v>30</v>
      </c>
      <c r="I193" s="1" t="s">
        <v>39</v>
      </c>
      <c r="J193" s="1" t="s">
        <v>31</v>
      </c>
      <c r="K193" s="1" t="s">
        <v>32</v>
      </c>
      <c r="L193" s="1" t="s">
        <v>33</v>
      </c>
      <c r="M193" s="1" t="s">
        <v>43</v>
      </c>
      <c r="N193" s="1" t="s">
        <v>34</v>
      </c>
      <c r="O193" s="1" t="s">
        <v>43</v>
      </c>
      <c r="P193" s="1" t="s">
        <v>711</v>
      </c>
    </row>
    <row r="194" spans="2:17" hidden="1" x14ac:dyDescent="0.55000000000000004">
      <c r="B194" s="1" t="s">
        <v>712</v>
      </c>
      <c r="D194" s="1">
        <v>82</v>
      </c>
      <c r="E194" s="1">
        <v>75.400000000000006</v>
      </c>
      <c r="F194" s="10">
        <v>68.8</v>
      </c>
      <c r="G194" s="10">
        <v>62.8</v>
      </c>
      <c r="H194" s="10">
        <v>62.8</v>
      </c>
      <c r="I194" s="10">
        <v>58.2</v>
      </c>
      <c r="J194" s="10">
        <v>55.9</v>
      </c>
      <c r="K194" s="1">
        <v>53.5</v>
      </c>
      <c r="L194" s="1">
        <v>51.2</v>
      </c>
      <c r="M194" s="1">
        <v>48.9</v>
      </c>
      <c r="N194" s="1">
        <v>0</v>
      </c>
      <c r="O194" s="1">
        <f>M194</f>
        <v>48.9</v>
      </c>
      <c r="P194" s="1">
        <f>C191</f>
        <v>39.799999999999997</v>
      </c>
    </row>
    <row r="195" spans="2:17" hidden="1" x14ac:dyDescent="0.55000000000000004">
      <c r="D195" s="1">
        <f>D186</f>
        <v>204.16326678085971</v>
      </c>
      <c r="E195" s="1">
        <f t="shared" ref="E195:N195" si="46">E186</f>
        <v>858.97600016687488</v>
      </c>
      <c r="F195" s="1">
        <f t="shared" si="46"/>
        <v>544.31716745964309</v>
      </c>
      <c r="G195" s="1">
        <f t="shared" si="46"/>
        <v>95</v>
      </c>
      <c r="H195" s="1">
        <f t="shared" si="46"/>
        <v>144.90928241051029</v>
      </c>
      <c r="I195" s="1">
        <f t="shared" si="46"/>
        <v>42.904826163529606</v>
      </c>
      <c r="J195" s="1">
        <f t="shared" si="46"/>
        <v>160.32951654688662</v>
      </c>
      <c r="K195" s="1">
        <f t="shared" si="46"/>
        <v>285.72473025042228</v>
      </c>
      <c r="L195" s="1">
        <f t="shared" si="46"/>
        <v>96.893165197219275</v>
      </c>
      <c r="M195" s="1">
        <f t="shared" si="46"/>
        <v>96.782045024054796</v>
      </c>
      <c r="N195" s="1">
        <f t="shared" si="46"/>
        <v>0</v>
      </c>
    </row>
    <row r="196" spans="2:17" hidden="1" x14ac:dyDescent="0.55000000000000004">
      <c r="B196" s="1" t="s">
        <v>713</v>
      </c>
      <c r="D196" s="1">
        <f>戸建ての計算!D288</f>
        <v>197.40000000000003</v>
      </c>
    </row>
    <row r="197" spans="2:17" hidden="1" x14ac:dyDescent="0.55000000000000004">
      <c r="B197" s="1" t="s">
        <v>715</v>
      </c>
      <c r="D197" s="1">
        <f>D195-D196</f>
        <v>6.7632667808596807</v>
      </c>
      <c r="E197" s="1">
        <f t="shared" ref="E197:P197" si="47">E195-E196</f>
        <v>858.97600016687488</v>
      </c>
      <c r="F197" s="1">
        <f t="shared" si="47"/>
        <v>544.31716745964309</v>
      </c>
      <c r="G197" s="1">
        <f t="shared" si="47"/>
        <v>95</v>
      </c>
      <c r="H197" s="1">
        <f t="shared" si="47"/>
        <v>144.90928241051029</v>
      </c>
      <c r="I197" s="1">
        <f t="shared" si="47"/>
        <v>42.904826163529606</v>
      </c>
      <c r="J197" s="1">
        <f t="shared" si="47"/>
        <v>160.32951654688662</v>
      </c>
      <c r="K197" s="1">
        <f t="shared" si="47"/>
        <v>285.72473025042228</v>
      </c>
      <c r="L197" s="1">
        <f t="shared" si="47"/>
        <v>96.893165197219275</v>
      </c>
      <c r="M197" s="1">
        <f t="shared" si="47"/>
        <v>96.782045024054796</v>
      </c>
      <c r="N197" s="1">
        <f t="shared" si="47"/>
        <v>0</v>
      </c>
      <c r="O197" s="1">
        <f t="shared" si="47"/>
        <v>0</v>
      </c>
      <c r="P197" s="1">
        <f t="shared" si="47"/>
        <v>0</v>
      </c>
    </row>
    <row r="198" spans="2:17" hidden="1" x14ac:dyDescent="0.55000000000000004">
      <c r="B198" s="1" t="s">
        <v>718</v>
      </c>
      <c r="D198" s="1">
        <f>戸建ての計算!I282</f>
        <v>534.16615384615386</v>
      </c>
    </row>
    <row r="199" spans="2:17" hidden="1" x14ac:dyDescent="0.55000000000000004">
      <c r="B199" s="1" t="s">
        <v>719</v>
      </c>
      <c r="D199" s="1">
        <f>D197</f>
        <v>6.7632667808596807</v>
      </c>
    </row>
    <row r="200" spans="2:17" hidden="1" x14ac:dyDescent="0.55000000000000004">
      <c r="B200" s="1" t="s">
        <v>720</v>
      </c>
      <c r="D200" s="1">
        <f>D198-D199</f>
        <v>527.40288706529418</v>
      </c>
    </row>
    <row r="201" spans="2:17" hidden="1" x14ac:dyDescent="0.55000000000000004">
      <c r="B201" s="1" t="s">
        <v>719</v>
      </c>
      <c r="D201" s="1">
        <f>D199</f>
        <v>6.7632667808596807</v>
      </c>
      <c r="E201" s="1">
        <f>D200</f>
        <v>527.40288706529418</v>
      </c>
    </row>
    <row r="202" spans="2:17" hidden="1" x14ac:dyDescent="0.55000000000000004">
      <c r="B202" s="1" t="s">
        <v>720</v>
      </c>
      <c r="D202" s="1">
        <f>D197-D201</f>
        <v>0</v>
      </c>
      <c r="E202" s="1">
        <f t="shared" ref="E202:P202" si="48">E197-E201</f>
        <v>331.5731131015807</v>
      </c>
      <c r="F202" s="1">
        <f t="shared" si="48"/>
        <v>544.31716745964309</v>
      </c>
      <c r="G202" s="1">
        <f t="shared" si="48"/>
        <v>95</v>
      </c>
      <c r="H202" s="1">
        <f t="shared" si="48"/>
        <v>144.90928241051029</v>
      </c>
      <c r="I202" s="1">
        <f t="shared" si="48"/>
        <v>42.904826163529606</v>
      </c>
      <c r="J202" s="1">
        <f t="shared" si="48"/>
        <v>160.32951654688662</v>
      </c>
      <c r="K202" s="1">
        <f t="shared" si="48"/>
        <v>285.72473025042228</v>
      </c>
      <c r="L202" s="1">
        <f t="shared" si="48"/>
        <v>96.893165197219275</v>
      </c>
      <c r="M202" s="1">
        <f t="shared" si="48"/>
        <v>96.782045024054796</v>
      </c>
      <c r="N202" s="1">
        <f t="shared" si="48"/>
        <v>0</v>
      </c>
      <c r="O202" s="1">
        <f t="shared" si="48"/>
        <v>0</v>
      </c>
      <c r="P202" s="1">
        <f t="shared" si="48"/>
        <v>0</v>
      </c>
    </row>
    <row r="203" spans="2:17" hidden="1" x14ac:dyDescent="0.55000000000000004">
      <c r="B203" s="1" t="s">
        <v>723</v>
      </c>
      <c r="D203" s="1">
        <v>0</v>
      </c>
      <c r="E203" s="1">
        <f>E202*-1</f>
        <v>-331.5731131015807</v>
      </c>
      <c r="F203" s="1">
        <v>0</v>
      </c>
      <c r="G203" s="1">
        <v>0</v>
      </c>
      <c r="H203" s="1">
        <f>E202</f>
        <v>331.5731131015807</v>
      </c>
    </row>
    <row r="204" spans="2:17" hidden="1" x14ac:dyDescent="0.55000000000000004">
      <c r="B204" s="1" t="s">
        <v>715</v>
      </c>
      <c r="D204" s="1">
        <f>D202+D203</f>
        <v>0</v>
      </c>
      <c r="E204" s="1">
        <f t="shared" ref="E204:P204" si="49">E202+E203</f>
        <v>0</v>
      </c>
      <c r="F204" s="1">
        <f t="shared" si="49"/>
        <v>544.31716745964309</v>
      </c>
      <c r="G204" s="1">
        <f t="shared" si="49"/>
        <v>95</v>
      </c>
      <c r="H204" s="1">
        <f t="shared" si="49"/>
        <v>476.48239551209099</v>
      </c>
      <c r="I204" s="1">
        <f t="shared" si="49"/>
        <v>42.904826163529606</v>
      </c>
      <c r="J204" s="1">
        <f t="shared" si="49"/>
        <v>160.32951654688662</v>
      </c>
      <c r="K204" s="1">
        <f t="shared" si="49"/>
        <v>285.72473025042228</v>
      </c>
      <c r="L204" s="1">
        <f t="shared" si="49"/>
        <v>96.893165197219275</v>
      </c>
      <c r="M204" s="1">
        <f t="shared" si="49"/>
        <v>96.782045024054796</v>
      </c>
      <c r="N204" s="1">
        <f t="shared" si="49"/>
        <v>0</v>
      </c>
      <c r="O204" s="1">
        <f t="shared" si="49"/>
        <v>0</v>
      </c>
      <c r="P204" s="1">
        <f t="shared" si="49"/>
        <v>0</v>
      </c>
    </row>
    <row r="205" spans="2:17" hidden="1" x14ac:dyDescent="0.55000000000000004">
      <c r="B205" s="1" t="s">
        <v>724</v>
      </c>
      <c r="O205" s="1">
        <f>B73/100</f>
        <v>0.9</v>
      </c>
      <c r="P205" s="1">
        <f>C73/100</f>
        <v>0.1</v>
      </c>
    </row>
    <row r="206" spans="2:17" hidden="1" x14ac:dyDescent="0.55000000000000004">
      <c r="B206" s="1" t="s">
        <v>715</v>
      </c>
      <c r="O206" s="1">
        <f>$D$198*O205</f>
        <v>480.74953846153846</v>
      </c>
      <c r="P206" s="1">
        <f>$D$198*P205</f>
        <v>53.41661538461539</v>
      </c>
    </row>
    <row r="207" spans="2:17" hidden="1" x14ac:dyDescent="0.55000000000000004">
      <c r="B207" s="1" t="s">
        <v>715</v>
      </c>
      <c r="D207" s="1">
        <f>D204+D206</f>
        <v>0</v>
      </c>
      <c r="E207" s="1">
        <f t="shared" ref="E207:P207" si="50">E204+E206</f>
        <v>0</v>
      </c>
      <c r="F207" s="1">
        <f t="shared" si="50"/>
        <v>544.31716745964309</v>
      </c>
      <c r="G207" s="1">
        <f t="shared" si="50"/>
        <v>95</v>
      </c>
      <c r="H207" s="1">
        <f t="shared" si="50"/>
        <v>476.48239551209099</v>
      </c>
      <c r="I207" s="1">
        <f t="shared" si="50"/>
        <v>42.904826163529606</v>
      </c>
      <c r="J207" s="1">
        <f t="shared" si="50"/>
        <v>160.32951654688662</v>
      </c>
      <c r="K207" s="1">
        <f t="shared" si="50"/>
        <v>285.72473025042228</v>
      </c>
      <c r="L207" s="1">
        <f t="shared" si="50"/>
        <v>96.893165197219275</v>
      </c>
      <c r="M207" s="1">
        <f t="shared" si="50"/>
        <v>96.782045024054796</v>
      </c>
      <c r="N207" s="1">
        <f t="shared" si="50"/>
        <v>0</v>
      </c>
      <c r="O207" s="1">
        <f t="shared" si="50"/>
        <v>480.74953846153846</v>
      </c>
      <c r="P207" s="1">
        <f t="shared" si="50"/>
        <v>53.41661538461539</v>
      </c>
    </row>
    <row r="208" spans="2:17" hidden="1" x14ac:dyDescent="0.55000000000000004">
      <c r="B208" s="1" t="s">
        <v>726</v>
      </c>
      <c r="D208" s="1">
        <f>D194*D207</f>
        <v>0</v>
      </c>
      <c r="E208" s="1">
        <f t="shared" ref="E208:P208" si="51">E194*E207</f>
        <v>0</v>
      </c>
      <c r="F208" s="1">
        <f t="shared" si="51"/>
        <v>37449.021121223443</v>
      </c>
      <c r="G208" s="1">
        <f t="shared" si="51"/>
        <v>5966</v>
      </c>
      <c r="H208" s="1">
        <f t="shared" si="51"/>
        <v>29923.094438159314</v>
      </c>
      <c r="I208" s="1">
        <f t="shared" si="51"/>
        <v>2497.0608827174233</v>
      </c>
      <c r="J208" s="1">
        <f t="shared" si="51"/>
        <v>8962.4199749709624</v>
      </c>
      <c r="K208" s="1">
        <f t="shared" si="51"/>
        <v>15286.273068397591</v>
      </c>
      <c r="L208" s="1">
        <f t="shared" si="51"/>
        <v>4960.9300580976269</v>
      </c>
      <c r="M208" s="1">
        <f t="shared" si="51"/>
        <v>4732.6420016762795</v>
      </c>
      <c r="N208" s="1">
        <f t="shared" si="51"/>
        <v>0</v>
      </c>
      <c r="O208" s="1">
        <f t="shared" si="51"/>
        <v>23508.652430769231</v>
      </c>
      <c r="P208" s="1">
        <f t="shared" si="51"/>
        <v>2125.9812923076925</v>
      </c>
      <c r="Q208" s="1">
        <f>SUM(D208:P208)</f>
        <v>135412.0752683196</v>
      </c>
    </row>
  </sheetData>
  <sheetProtection algorithmName="SHA-512" hashValue="XnbwiG44RCVB4Kf0V94VjmGT4abn1f6n9qhd6S0Gp2tSW12W+ELrBA0qzp63ij07ynrcO+w6rgM5vZX0vXOmXA==" saltValue="dOBnOQNLTHV5C2dBcpp/lQ==" spinCount="100000" sheet="1" objects="1" scenarios="1"/>
  <mergeCells count="39">
    <mergeCell ref="B88:E88"/>
    <mergeCell ref="C34:F34"/>
    <mergeCell ref="B31:D31"/>
    <mergeCell ref="B75:G75"/>
    <mergeCell ref="B86:E86"/>
    <mergeCell ref="B87:E87"/>
    <mergeCell ref="B79:G79"/>
    <mergeCell ref="B53:G53"/>
    <mergeCell ref="B60:E60"/>
    <mergeCell ref="B61:E61"/>
    <mergeCell ref="B66:G66"/>
    <mergeCell ref="B55:D55"/>
    <mergeCell ref="B56:D56"/>
    <mergeCell ref="B57:D57"/>
    <mergeCell ref="B58:D58"/>
    <mergeCell ref="B81:D81"/>
    <mergeCell ref="B7:D7"/>
    <mergeCell ref="B8:D8"/>
    <mergeCell ref="B11:G11"/>
    <mergeCell ref="B15:D15"/>
    <mergeCell ref="B17:D17"/>
    <mergeCell ref="B13:D13"/>
    <mergeCell ref="B14:D14"/>
    <mergeCell ref="B16:D16"/>
    <mergeCell ref="B82:D82"/>
    <mergeCell ref="B83:D83"/>
    <mergeCell ref="B84:D84"/>
    <mergeCell ref="B18:D18"/>
    <mergeCell ref="B39:C39"/>
    <mergeCell ref="C46:E46"/>
    <mergeCell ref="C47:E47"/>
    <mergeCell ref="C48:E48"/>
    <mergeCell ref="B20:G20"/>
    <mergeCell ref="B42:G42"/>
    <mergeCell ref="C24:E24"/>
    <mergeCell ref="C25:E25"/>
    <mergeCell ref="C26:E26"/>
    <mergeCell ref="B33:B34"/>
    <mergeCell ref="C33:F33"/>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821814A-38DD-4C87-8FB7-609EB57ECD03}">
          <x14:formula1>
            <xm:f>SIM用基本データ!$K$142:$K$143</xm:f>
          </x14:formula1>
          <xm:sqref>C35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DA936-7A46-413E-BDF3-197A6A699509}">
  <dimension ref="A1:Q121"/>
  <sheetViews>
    <sheetView zoomScaleNormal="100" workbookViewId="0">
      <selection activeCell="B39" sqref="B39"/>
    </sheetView>
  </sheetViews>
  <sheetFormatPr defaultColWidth="8.58203125" defaultRowHeight="15" x14ac:dyDescent="0.55000000000000004"/>
  <cols>
    <col min="1" max="1" width="8.58203125" style="1"/>
    <col min="2" max="2" width="12.08203125" style="1" customWidth="1"/>
    <col min="3" max="4" width="8.58203125" style="1"/>
    <col min="5" max="5" width="9.5" style="1" bestFit="1" customWidth="1"/>
    <col min="6" max="16384" width="8.58203125" style="1"/>
  </cols>
  <sheetData>
    <row r="1" spans="1:17" ht="23" thickBot="1" x14ac:dyDescent="0.6">
      <c r="A1" s="70" t="s">
        <v>795</v>
      </c>
    </row>
    <row r="2" spans="1:17" ht="15.5" thickTop="1" x14ac:dyDescent="0.55000000000000004">
      <c r="B2" s="1" t="s">
        <v>732</v>
      </c>
      <c r="L2" s="85" t="s">
        <v>413</v>
      </c>
      <c r="M2" s="86"/>
      <c r="N2" s="86"/>
      <c r="O2" s="86"/>
      <c r="P2" s="86"/>
      <c r="Q2" s="87"/>
    </row>
    <row r="3" spans="1:17" x14ac:dyDescent="0.55000000000000004">
      <c r="B3" s="4" t="s">
        <v>396</v>
      </c>
      <c r="L3" s="88"/>
      <c r="M3" s="89"/>
      <c r="N3" s="89"/>
      <c r="O3" s="89"/>
      <c r="P3" s="89"/>
      <c r="Q3" s="90"/>
    </row>
    <row r="4" spans="1:17" x14ac:dyDescent="0.55000000000000004">
      <c r="B4" s="4" t="s">
        <v>397</v>
      </c>
      <c r="L4" s="88" t="s">
        <v>407</v>
      </c>
      <c r="M4" s="89"/>
      <c r="N4" s="89"/>
      <c r="O4" s="89"/>
      <c r="P4" s="89">
        <f>ROUND(E52,2)</f>
        <v>4.75</v>
      </c>
      <c r="Q4" s="90" t="s">
        <v>154</v>
      </c>
    </row>
    <row r="5" spans="1:17" ht="15.5" thickBot="1" x14ac:dyDescent="0.6">
      <c r="L5" s="88" t="s">
        <v>408</v>
      </c>
      <c r="M5" s="89"/>
      <c r="N5" s="89"/>
      <c r="O5" s="89"/>
      <c r="P5" s="89">
        <v>12</v>
      </c>
      <c r="Q5" s="90" t="s">
        <v>409</v>
      </c>
    </row>
    <row r="6" spans="1:17" ht="16" thickTop="1" thickBot="1" x14ac:dyDescent="0.6">
      <c r="B6" s="139" t="s">
        <v>398</v>
      </c>
      <c r="C6" s="140"/>
      <c r="D6" s="140"/>
      <c r="E6" s="140"/>
      <c r="F6" s="140"/>
      <c r="G6" s="141"/>
      <c r="L6" s="88" t="s">
        <v>51</v>
      </c>
      <c r="M6" s="89"/>
      <c r="N6" s="89"/>
      <c r="O6" s="89"/>
      <c r="P6" s="89">
        <v>0.24</v>
      </c>
      <c r="Q6" s="90" t="s">
        <v>410</v>
      </c>
    </row>
    <row r="7" spans="1:17" ht="16" thickTop="1" thickBot="1" x14ac:dyDescent="0.6">
      <c r="B7" s="82"/>
      <c r="C7" s="82"/>
      <c r="D7" s="82"/>
      <c r="E7" s="82"/>
      <c r="F7" s="82"/>
      <c r="G7" s="82"/>
      <c r="L7" s="91" t="s">
        <v>412</v>
      </c>
      <c r="M7" s="92"/>
      <c r="N7" s="92"/>
      <c r="O7" s="92"/>
      <c r="P7" s="92">
        <v>90</v>
      </c>
      <c r="Q7" s="93" t="s">
        <v>199</v>
      </c>
    </row>
    <row r="8" spans="1:17" ht="15.5" thickTop="1" x14ac:dyDescent="0.55000000000000004">
      <c r="B8" s="145" t="s">
        <v>200</v>
      </c>
      <c r="C8" s="145"/>
      <c r="D8" s="97">
        <v>60</v>
      </c>
      <c r="E8" s="1" t="s">
        <v>199</v>
      </c>
      <c r="F8" s="8" t="s">
        <v>411</v>
      </c>
    </row>
    <row r="9" spans="1:17" ht="15.5" thickBot="1" x14ac:dyDescent="0.6"/>
    <row r="10" spans="1:17" ht="16" thickTop="1" thickBot="1" x14ac:dyDescent="0.6">
      <c r="B10" s="139" t="s">
        <v>399</v>
      </c>
      <c r="C10" s="140"/>
      <c r="D10" s="140"/>
      <c r="E10" s="140"/>
      <c r="F10" s="140"/>
      <c r="G10" s="141"/>
    </row>
    <row r="11" spans="1:17" ht="15.5" thickTop="1" x14ac:dyDescent="0.55000000000000004"/>
    <row r="12" spans="1:17" x14ac:dyDescent="0.55000000000000004">
      <c r="B12" s="145" t="s">
        <v>212</v>
      </c>
      <c r="C12" s="145"/>
      <c r="D12" s="97">
        <v>2025</v>
      </c>
      <c r="E12" s="1" t="s">
        <v>213</v>
      </c>
    </row>
    <row r="13" spans="1:17" ht="15.5" thickBot="1" x14ac:dyDescent="0.6">
      <c r="E13" s="14"/>
    </row>
    <row r="14" spans="1:17" ht="16" thickTop="1" thickBot="1" x14ac:dyDescent="0.6">
      <c r="B14" s="142" t="s">
        <v>401</v>
      </c>
      <c r="C14" s="143"/>
      <c r="D14" s="143"/>
      <c r="E14" s="143"/>
      <c r="F14" s="143"/>
      <c r="G14" s="144"/>
    </row>
    <row r="15" spans="1:17" ht="15.5" thickTop="1" x14ac:dyDescent="0.55000000000000004">
      <c r="C15" s="64" t="s">
        <v>379</v>
      </c>
    </row>
    <row r="17" spans="1:8" x14ac:dyDescent="0.55000000000000004">
      <c r="C17" s="137"/>
      <c r="D17" s="137"/>
      <c r="E17" s="137"/>
      <c r="F17" s="59" t="s">
        <v>402</v>
      </c>
      <c r="G17" s="59" t="s">
        <v>403</v>
      </c>
    </row>
    <row r="18" spans="1:8" x14ac:dyDescent="0.55000000000000004">
      <c r="C18" s="145" t="s">
        <v>404</v>
      </c>
      <c r="D18" s="145"/>
      <c r="E18" s="145"/>
      <c r="F18" s="41">
        <f>ROUND(E63,1)</f>
        <v>176.3</v>
      </c>
      <c r="G18" s="59" t="s">
        <v>406</v>
      </c>
      <c r="H18" s="1" t="s">
        <v>211</v>
      </c>
    </row>
    <row r="19" spans="1:8" x14ac:dyDescent="0.55000000000000004">
      <c r="C19" s="145" t="s">
        <v>360</v>
      </c>
      <c r="D19" s="145"/>
      <c r="E19" s="145"/>
      <c r="F19" s="44">
        <f>ROUND(E62,1)</f>
        <v>176.3</v>
      </c>
      <c r="G19" s="44">
        <f>ROUND(E80,1)</f>
        <v>306.8</v>
      </c>
      <c r="H19" s="1" t="s">
        <v>211</v>
      </c>
    </row>
    <row r="20" spans="1:8" x14ac:dyDescent="0.55000000000000004">
      <c r="C20" s="145" t="s">
        <v>361</v>
      </c>
      <c r="D20" s="145"/>
      <c r="E20" s="145"/>
      <c r="F20" s="41">
        <f>F19-F18</f>
        <v>0</v>
      </c>
      <c r="G20" s="41">
        <f>G19-F18</f>
        <v>130.5</v>
      </c>
      <c r="H20" s="1" t="s">
        <v>211</v>
      </c>
    </row>
    <row r="21" spans="1:8" ht="15.5" thickBot="1" x14ac:dyDescent="0.6">
      <c r="C21" s="83"/>
      <c r="D21" s="83"/>
      <c r="E21" s="83"/>
      <c r="F21" s="84"/>
      <c r="G21" s="84"/>
    </row>
    <row r="22" spans="1:8" ht="16" thickTop="1" thickBot="1" x14ac:dyDescent="0.6">
      <c r="B22" s="139" t="s">
        <v>414</v>
      </c>
      <c r="C22" s="140"/>
      <c r="D22" s="140"/>
      <c r="E22" s="140"/>
      <c r="F22" s="140"/>
      <c r="G22" s="141"/>
    </row>
    <row r="23" spans="1:8" ht="15.5" thickTop="1" x14ac:dyDescent="0.55000000000000004">
      <c r="B23" s="1" t="s">
        <v>418</v>
      </c>
      <c r="C23" s="83"/>
      <c r="D23" s="83"/>
      <c r="E23" s="83"/>
      <c r="F23" s="84"/>
      <c r="G23" s="84"/>
    </row>
    <row r="24" spans="1:8" x14ac:dyDescent="0.55000000000000004">
      <c r="B24" s="130" t="s">
        <v>492</v>
      </c>
      <c r="D24" s="83"/>
      <c r="E24" s="83"/>
      <c r="F24" s="84"/>
      <c r="G24" s="84"/>
    </row>
    <row r="25" spans="1:8" x14ac:dyDescent="0.55000000000000004">
      <c r="C25" s="83"/>
      <c r="D25" s="83"/>
      <c r="E25" s="83"/>
      <c r="F25" s="84"/>
      <c r="G25" s="84"/>
    </row>
    <row r="26" spans="1:8" ht="22.5" x14ac:dyDescent="0.55000000000000004">
      <c r="A26" s="70" t="s">
        <v>796</v>
      </c>
    </row>
    <row r="27" spans="1:8" x14ac:dyDescent="0.55000000000000004">
      <c r="B27" s="1" t="s">
        <v>730</v>
      </c>
    </row>
    <row r="28" spans="1:8" x14ac:dyDescent="0.55000000000000004">
      <c r="B28" s="8" t="s">
        <v>737</v>
      </c>
    </row>
    <row r="29" spans="1:8" x14ac:dyDescent="0.55000000000000004">
      <c r="B29" s="10" t="s">
        <v>745</v>
      </c>
    </row>
    <row r="30" spans="1:8" x14ac:dyDescent="0.55000000000000004">
      <c r="B30" s="1" t="s">
        <v>757</v>
      </c>
    </row>
    <row r="31" spans="1:8" ht="15.5" thickBot="1" x14ac:dyDescent="0.6"/>
    <row r="32" spans="1:8" ht="16" thickTop="1" thickBot="1" x14ac:dyDescent="0.6">
      <c r="B32" s="139" t="s">
        <v>741</v>
      </c>
      <c r="C32" s="140"/>
      <c r="D32" s="140"/>
      <c r="E32" s="140"/>
      <c r="F32" s="140"/>
      <c r="G32" s="141"/>
    </row>
    <row r="33" spans="2:7" ht="15.5" thickTop="1" x14ac:dyDescent="0.55000000000000004">
      <c r="F33" s="5"/>
    </row>
    <row r="34" spans="2:7" x14ac:dyDescent="0.55000000000000004">
      <c r="B34" s="136">
        <v>90</v>
      </c>
      <c r="C34" s="1" t="s">
        <v>731</v>
      </c>
    </row>
    <row r="35" spans="2:7" ht="15.5" thickBot="1" x14ac:dyDescent="0.6"/>
    <row r="36" spans="2:7" ht="16" thickTop="1" thickBot="1" x14ac:dyDescent="0.6">
      <c r="B36" s="139" t="s">
        <v>751</v>
      </c>
      <c r="C36" s="140"/>
      <c r="D36" s="140"/>
      <c r="E36" s="140"/>
      <c r="F36" s="140"/>
      <c r="G36" s="141"/>
    </row>
    <row r="37" spans="2:7" ht="15.5" thickTop="1" x14ac:dyDescent="0.55000000000000004"/>
    <row r="38" spans="2:7" x14ac:dyDescent="0.55000000000000004">
      <c r="B38" s="136">
        <v>15</v>
      </c>
      <c r="C38" s="1" t="s">
        <v>734</v>
      </c>
      <c r="D38" s="8" t="s">
        <v>733</v>
      </c>
    </row>
    <row r="39" spans="2:7" ht="15.5" thickBot="1" x14ac:dyDescent="0.6"/>
    <row r="40" spans="2:7" ht="16" thickTop="1" thickBot="1" x14ac:dyDescent="0.6">
      <c r="B40" s="142" t="s">
        <v>765</v>
      </c>
      <c r="C40" s="143"/>
      <c r="D40" s="143"/>
      <c r="E40" s="143"/>
      <c r="F40" s="143"/>
      <c r="G40" s="144"/>
    </row>
    <row r="41" spans="2:7" ht="15.5" thickTop="1" x14ac:dyDescent="0.55000000000000004"/>
    <row r="42" spans="2:7" x14ac:dyDescent="0.55000000000000004">
      <c r="B42" s="137" t="s">
        <v>766</v>
      </c>
      <c r="C42" s="137"/>
      <c r="D42" s="137"/>
      <c r="E42" s="7">
        <f>ROUND(IF(B24="1）",E58,E77),0)</f>
        <v>1218</v>
      </c>
      <c r="F42" s="1" t="s">
        <v>748</v>
      </c>
    </row>
    <row r="43" spans="2:7" x14ac:dyDescent="0.55000000000000004">
      <c r="B43" s="145" t="s">
        <v>767</v>
      </c>
      <c r="C43" s="145"/>
      <c r="D43" s="145"/>
      <c r="E43" s="44">
        <f>ROUND(E115,0)</f>
        <v>5482</v>
      </c>
      <c r="F43" s="1" t="s">
        <v>748</v>
      </c>
    </row>
    <row r="44" spans="2:7" x14ac:dyDescent="0.55000000000000004">
      <c r="B44" s="145" t="s">
        <v>768</v>
      </c>
      <c r="C44" s="145"/>
      <c r="D44" s="145"/>
      <c r="E44" s="44">
        <f>ROUND(E117/10000,0)</f>
        <v>575</v>
      </c>
      <c r="F44" s="1" t="s">
        <v>770</v>
      </c>
    </row>
    <row r="45" spans="2:7" x14ac:dyDescent="0.55000000000000004">
      <c r="B45" s="145" t="s">
        <v>769</v>
      </c>
      <c r="C45" s="145"/>
      <c r="D45" s="145"/>
      <c r="E45" s="44">
        <f>ROUND(E120,1)</f>
        <v>5.6</v>
      </c>
      <c r="F45" s="1" t="s">
        <v>764</v>
      </c>
    </row>
    <row r="49" spans="1:16" hidden="1" x14ac:dyDescent="0.55000000000000004">
      <c r="A49" s="8" t="s">
        <v>400</v>
      </c>
    </row>
    <row r="50" spans="1:16" hidden="1" x14ac:dyDescent="0.55000000000000004">
      <c r="A50" s="4" t="s">
        <v>735</v>
      </c>
    </row>
    <row r="51" spans="1:16" hidden="1" x14ac:dyDescent="0.55000000000000004">
      <c r="B51" s="1" t="s">
        <v>157</v>
      </c>
      <c r="E51" s="1">
        <v>1049.2493789826115</v>
      </c>
      <c r="F51" s="1" t="s">
        <v>158</v>
      </c>
    </row>
    <row r="52" spans="1:16" hidden="1" x14ac:dyDescent="0.55000000000000004">
      <c r="B52" s="1" t="s">
        <v>204</v>
      </c>
      <c r="E52" s="1">
        <v>4.7533229057740343</v>
      </c>
      <c r="F52" s="1" t="s">
        <v>149</v>
      </c>
    </row>
    <row r="53" spans="1:16" hidden="1" x14ac:dyDescent="0.55000000000000004">
      <c r="B53" s="1" t="s">
        <v>201</v>
      </c>
      <c r="E53" s="1">
        <f>G85</f>
        <v>34.542740814920776</v>
      </c>
      <c r="F53" s="1" t="s">
        <v>151</v>
      </c>
    </row>
    <row r="54" spans="1:16" hidden="1" x14ac:dyDescent="0.55000000000000004">
      <c r="B54" s="1" t="s">
        <v>202</v>
      </c>
      <c r="E54" s="1">
        <f>D8*E53/100</f>
        <v>20.725644488952465</v>
      </c>
      <c r="F54" s="1" t="s">
        <v>151</v>
      </c>
    </row>
    <row r="55" spans="1:16" hidden="1" x14ac:dyDescent="0.55000000000000004">
      <c r="B55" s="1" t="s">
        <v>155</v>
      </c>
      <c r="E55" s="1">
        <v>12</v>
      </c>
      <c r="F55" s="1" t="s">
        <v>151</v>
      </c>
    </row>
    <row r="56" spans="1:16" hidden="1" x14ac:dyDescent="0.55000000000000004">
      <c r="B56" s="1" t="s">
        <v>203</v>
      </c>
      <c r="E56" s="1">
        <f>(E54+E55)/2</f>
        <v>16.362822244476234</v>
      </c>
      <c r="F56" s="1" t="s">
        <v>151</v>
      </c>
    </row>
    <row r="57" spans="1:16" hidden="1" x14ac:dyDescent="0.55000000000000004">
      <c r="B57" s="1" t="s">
        <v>156</v>
      </c>
      <c r="E57" s="1">
        <f>E56*9</f>
        <v>147.26540020028611</v>
      </c>
      <c r="F57" s="1" t="s">
        <v>151</v>
      </c>
    </row>
    <row r="58" spans="1:16" hidden="1" x14ac:dyDescent="0.55000000000000004">
      <c r="B58" s="1" t="s">
        <v>205</v>
      </c>
      <c r="E58" s="1">
        <f>E57*E52</f>
        <v>700</v>
      </c>
      <c r="F58" s="1" t="s">
        <v>159</v>
      </c>
    </row>
    <row r="59" spans="1:16" hidden="1" x14ac:dyDescent="0.55000000000000004">
      <c r="B59" s="1" t="s">
        <v>207</v>
      </c>
      <c r="E59" s="1">
        <f>E58*E51</f>
        <v>734474.56528782798</v>
      </c>
      <c r="F59" s="1" t="s">
        <v>206</v>
      </c>
    </row>
    <row r="60" spans="1:16" hidden="1" x14ac:dyDescent="0.55000000000000004"/>
    <row r="61" spans="1:16" hidden="1" x14ac:dyDescent="0.55000000000000004">
      <c r="B61" s="1" t="s">
        <v>51</v>
      </c>
      <c r="E61" s="1">
        <v>0.24</v>
      </c>
      <c r="F61" s="1" t="s">
        <v>209</v>
      </c>
    </row>
    <row r="62" spans="1:16" hidden="1" x14ac:dyDescent="0.55000000000000004">
      <c r="B62" s="1" t="s">
        <v>210</v>
      </c>
      <c r="E62" s="4">
        <f>E59*E61/1000</f>
        <v>176.27389566907871</v>
      </c>
      <c r="F62" s="1" t="s">
        <v>211</v>
      </c>
      <c r="H62" s="1">
        <v>2022</v>
      </c>
      <c r="I62" s="1">
        <v>2023</v>
      </c>
      <c r="J62" s="1">
        <v>2024</v>
      </c>
      <c r="K62" s="1">
        <v>2025</v>
      </c>
      <c r="L62" s="1">
        <v>2026</v>
      </c>
      <c r="M62" s="1">
        <v>2027</v>
      </c>
      <c r="N62" s="1">
        <v>2028</v>
      </c>
      <c r="O62" s="1">
        <v>2029</v>
      </c>
      <c r="P62" s="1">
        <v>2030</v>
      </c>
    </row>
    <row r="63" spans="1:16" hidden="1" x14ac:dyDescent="0.55000000000000004">
      <c r="D63" s="1" t="s">
        <v>405</v>
      </c>
      <c r="E63" s="1">
        <v>176.27389566907871</v>
      </c>
      <c r="H63" s="1">
        <f>戸建ての計算!E171</f>
        <v>41.077853942067946</v>
      </c>
      <c r="I63" s="1">
        <f>戸建ての計算!E173</f>
        <v>40.260964801174552</v>
      </c>
      <c r="J63" s="1">
        <f>戸建ての計算!E175</f>
        <v>39.444075660281158</v>
      </c>
      <c r="K63" s="1">
        <f>戸建ての計算!E177</f>
        <v>38.627186519387756</v>
      </c>
      <c r="L63" s="1">
        <f>戸建ての計算!Q179</f>
        <v>37.810297378494361</v>
      </c>
      <c r="M63" s="1">
        <f>戸建ての計算!Q181</f>
        <v>36.993408237600967</v>
      </c>
      <c r="N63" s="1">
        <f>戸建ての計算!Q183</f>
        <v>36.176519096707565</v>
      </c>
      <c r="O63" s="1">
        <f>戸建ての計算!Q185</f>
        <v>35.359629955814171</v>
      </c>
      <c r="P63" s="1">
        <f>戸建ての計算!Q187</f>
        <v>34.542740814920776</v>
      </c>
    </row>
    <row r="64" spans="1:16" hidden="1" x14ac:dyDescent="0.55000000000000004">
      <c r="G64" s="1" t="s">
        <v>221</v>
      </c>
      <c r="H64" s="1">
        <f>H63</f>
        <v>41.077853942067946</v>
      </c>
      <c r="I64" s="1">
        <f>H64+I63</f>
        <v>81.338818743242498</v>
      </c>
      <c r="J64" s="1">
        <f t="shared" ref="J64:P64" si="0">I64+J63</f>
        <v>120.78289440352366</v>
      </c>
      <c r="K64" s="1">
        <f t="shared" si="0"/>
        <v>159.41008092291142</v>
      </c>
      <c r="L64" s="1">
        <f t="shared" si="0"/>
        <v>197.22037830140579</v>
      </c>
      <c r="M64" s="1">
        <f t="shared" si="0"/>
        <v>234.21378653900675</v>
      </c>
      <c r="N64" s="1">
        <f t="shared" si="0"/>
        <v>270.3903056357143</v>
      </c>
      <c r="O64" s="1">
        <f t="shared" si="0"/>
        <v>305.74993559152847</v>
      </c>
      <c r="P64" s="1">
        <f t="shared" si="0"/>
        <v>340.29267640644923</v>
      </c>
    </row>
    <row r="65" spans="1:6" hidden="1" x14ac:dyDescent="0.55000000000000004">
      <c r="A65" s="4" t="s">
        <v>736</v>
      </c>
    </row>
    <row r="66" spans="1:6" hidden="1" x14ac:dyDescent="0.55000000000000004">
      <c r="B66" s="1" t="s">
        <v>214</v>
      </c>
      <c r="E66" s="1">
        <f>D12-2021</f>
        <v>4</v>
      </c>
      <c r="F66" s="1" t="s">
        <v>213</v>
      </c>
    </row>
    <row r="67" spans="1:6" hidden="1" x14ac:dyDescent="0.55000000000000004">
      <c r="B67" s="1" t="s">
        <v>215</v>
      </c>
      <c r="E67" s="1">
        <v>90</v>
      </c>
      <c r="F67" s="1" t="s">
        <v>199</v>
      </c>
    </row>
    <row r="68" spans="1:6" hidden="1" x14ac:dyDescent="0.55000000000000004">
      <c r="B68" s="1" t="s">
        <v>216</v>
      </c>
      <c r="E68" s="1">
        <f>HLOOKUP(D12,H62:P63,2,FALSE)</f>
        <v>38.627186519387756</v>
      </c>
      <c r="F68" s="1" t="s">
        <v>151</v>
      </c>
    </row>
    <row r="69" spans="1:6" hidden="1" x14ac:dyDescent="0.55000000000000004">
      <c r="B69" s="1" t="s">
        <v>218</v>
      </c>
      <c r="E69" s="1">
        <f>E68*E67/100</f>
        <v>34.764467867448978</v>
      </c>
      <c r="F69" s="1" t="s">
        <v>151</v>
      </c>
    </row>
    <row r="70" spans="1:6" hidden="1" x14ac:dyDescent="0.55000000000000004">
      <c r="B70" s="1" t="s">
        <v>155</v>
      </c>
      <c r="E70" s="1">
        <v>12</v>
      </c>
      <c r="F70" s="1" t="s">
        <v>151</v>
      </c>
    </row>
    <row r="71" spans="1:6" hidden="1" x14ac:dyDescent="0.55000000000000004">
      <c r="B71" s="1" t="s">
        <v>219</v>
      </c>
      <c r="E71" s="1">
        <f>(E69+E70)/2</f>
        <v>23.382233933724489</v>
      </c>
      <c r="F71" s="1" t="s">
        <v>151</v>
      </c>
    </row>
    <row r="72" spans="1:6" hidden="1" x14ac:dyDescent="0.55000000000000004">
      <c r="B72" s="1" t="s">
        <v>220</v>
      </c>
      <c r="E72" s="1">
        <f>E71*E66</f>
        <v>93.528935734897956</v>
      </c>
      <c r="F72" s="1" t="s">
        <v>148</v>
      </c>
    </row>
    <row r="73" spans="1:6" hidden="1" x14ac:dyDescent="0.55000000000000004">
      <c r="B73" s="1" t="s">
        <v>222</v>
      </c>
      <c r="E73" s="1">
        <f>HLOOKUP(D12,H62:P64,3,FALSE)</f>
        <v>159.41008092291142</v>
      </c>
      <c r="F73" s="1" t="s">
        <v>148</v>
      </c>
    </row>
    <row r="74" spans="1:6" hidden="1" x14ac:dyDescent="0.55000000000000004">
      <c r="B74" s="1" t="s">
        <v>223</v>
      </c>
      <c r="E74" s="1">
        <f>P64-E73</f>
        <v>180.88259548353781</v>
      </c>
      <c r="F74" s="1" t="s">
        <v>148</v>
      </c>
    </row>
    <row r="75" spans="1:6" hidden="1" x14ac:dyDescent="0.55000000000000004">
      <c r="B75" s="1" t="s">
        <v>224</v>
      </c>
      <c r="E75" s="1">
        <f>E74*E67/100</f>
        <v>162.79433593518402</v>
      </c>
      <c r="F75" s="1" t="s">
        <v>148</v>
      </c>
    </row>
    <row r="76" spans="1:6" hidden="1" x14ac:dyDescent="0.55000000000000004">
      <c r="B76" s="1" t="s">
        <v>156</v>
      </c>
      <c r="E76" s="1">
        <f>E72+E75</f>
        <v>256.32327167008197</v>
      </c>
      <c r="F76" s="1" t="s">
        <v>148</v>
      </c>
    </row>
    <row r="77" spans="1:6" hidden="1" x14ac:dyDescent="0.55000000000000004">
      <c r="B77" s="1" t="s">
        <v>205</v>
      </c>
      <c r="E77" s="1">
        <f>E76*E52</f>
        <v>1218.3872785123413</v>
      </c>
      <c r="F77" s="1" t="s">
        <v>159</v>
      </c>
    </row>
    <row r="78" spans="1:6" hidden="1" x14ac:dyDescent="0.55000000000000004">
      <c r="B78" s="1" t="s">
        <v>207</v>
      </c>
      <c r="E78" s="1">
        <f>E77*E51</f>
        <v>1278392.0953393881</v>
      </c>
      <c r="F78" s="1" t="s">
        <v>206</v>
      </c>
    </row>
    <row r="79" spans="1:6" hidden="1" x14ac:dyDescent="0.55000000000000004"/>
    <row r="80" spans="1:6" hidden="1" x14ac:dyDescent="0.55000000000000004">
      <c r="B80" s="1" t="s">
        <v>210</v>
      </c>
      <c r="E80" s="4">
        <f>E78*E61/1000</f>
        <v>306.8141028814531</v>
      </c>
      <c r="F80" s="1" t="s">
        <v>211</v>
      </c>
    </row>
    <row r="81" spans="1:9" hidden="1" x14ac:dyDescent="0.55000000000000004"/>
    <row r="82" spans="1:9" hidden="1" x14ac:dyDescent="0.55000000000000004">
      <c r="A82" s="1" t="s">
        <v>150</v>
      </c>
    </row>
    <row r="83" spans="1:9" hidden="1" x14ac:dyDescent="0.55000000000000004"/>
    <row r="84" spans="1:9" hidden="1" x14ac:dyDescent="0.55000000000000004">
      <c r="C84" s="1" t="s">
        <v>32</v>
      </c>
      <c r="D84" s="1" t="s">
        <v>33</v>
      </c>
      <c r="E84" s="1" t="s">
        <v>43</v>
      </c>
      <c r="F84" s="1" t="s">
        <v>34</v>
      </c>
    </row>
    <row r="85" spans="1:9" hidden="1" x14ac:dyDescent="0.55000000000000004">
      <c r="C85" s="1">
        <v>20.725644488952465</v>
      </c>
      <c r="D85" s="1">
        <v>3.4542740814920774</v>
      </c>
      <c r="E85" s="1">
        <v>0</v>
      </c>
      <c r="F85" s="1">
        <v>10.362822244476233</v>
      </c>
      <c r="G85" s="1">
        <f>SUM(C85:F85)</f>
        <v>34.542740814920776</v>
      </c>
      <c r="H85" s="1" t="s">
        <v>151</v>
      </c>
      <c r="I85" s="5" t="s">
        <v>152</v>
      </c>
    </row>
    <row r="86" spans="1:9" hidden="1" x14ac:dyDescent="0.55000000000000004"/>
    <row r="87" spans="1:9" hidden="1" x14ac:dyDescent="0.55000000000000004"/>
    <row r="88" spans="1:9" hidden="1" x14ac:dyDescent="0.55000000000000004"/>
    <row r="89" spans="1:9" hidden="1" x14ac:dyDescent="0.55000000000000004">
      <c r="G89" s="5"/>
    </row>
    <row r="90" spans="1:9" hidden="1" x14ac:dyDescent="0.55000000000000004">
      <c r="G90" s="5"/>
    </row>
    <row r="91" spans="1:9" hidden="1" x14ac:dyDescent="0.55000000000000004">
      <c r="G91" s="5"/>
    </row>
    <row r="92" spans="1:9" hidden="1" x14ac:dyDescent="0.55000000000000004">
      <c r="G92" s="5"/>
    </row>
    <row r="93" spans="1:9" hidden="1" x14ac:dyDescent="0.55000000000000004"/>
    <row r="94" spans="1:9" hidden="1" x14ac:dyDescent="0.55000000000000004"/>
    <row r="95" spans="1:9" hidden="1" x14ac:dyDescent="0.55000000000000004"/>
    <row r="96" spans="1:9" hidden="1" x14ac:dyDescent="0.55000000000000004"/>
    <row r="97" spans="1:6" hidden="1" x14ac:dyDescent="0.55000000000000004"/>
    <row r="98" spans="1:6" hidden="1" x14ac:dyDescent="0.55000000000000004">
      <c r="F98" s="5"/>
    </row>
    <row r="99" spans="1:6" hidden="1" x14ac:dyDescent="0.55000000000000004"/>
    <row r="100" spans="1:6" hidden="1" x14ac:dyDescent="0.55000000000000004"/>
    <row r="101" spans="1:6" hidden="1" x14ac:dyDescent="0.55000000000000004"/>
    <row r="102" spans="1:6" hidden="1" x14ac:dyDescent="0.55000000000000004"/>
    <row r="103" spans="1:6" hidden="1" x14ac:dyDescent="0.55000000000000004">
      <c r="C103" s="5"/>
    </row>
    <row r="104" spans="1:6" hidden="1" x14ac:dyDescent="0.55000000000000004">
      <c r="A104" s="4" t="s">
        <v>738</v>
      </c>
    </row>
    <row r="105" spans="1:6" hidden="1" x14ac:dyDescent="0.55000000000000004">
      <c r="B105" s="1" t="s">
        <v>739</v>
      </c>
      <c r="E105" s="1">
        <f>戸建ての計算!D303</f>
        <v>513.21846153846161</v>
      </c>
      <c r="F105" s="1" t="s">
        <v>740</v>
      </c>
    </row>
    <row r="106" spans="1:6" hidden="1" x14ac:dyDescent="0.55000000000000004">
      <c r="B106" s="1" t="s">
        <v>742</v>
      </c>
      <c r="E106" s="1">
        <f>B34/100</f>
        <v>0.9</v>
      </c>
    </row>
    <row r="107" spans="1:6" hidden="1" x14ac:dyDescent="0.55000000000000004">
      <c r="B107" s="1" t="s">
        <v>743</v>
      </c>
      <c r="E107" s="1">
        <f>E105*E106</f>
        <v>461.89661538461547</v>
      </c>
      <c r="F107" s="1" t="s">
        <v>740</v>
      </c>
    </row>
    <row r="108" spans="1:6" hidden="1" x14ac:dyDescent="0.55000000000000004">
      <c r="B108" s="1" t="s">
        <v>744</v>
      </c>
      <c r="E108" s="9">
        <f>E52</f>
        <v>4.7533229057740343</v>
      </c>
      <c r="F108" s="1" t="s">
        <v>747</v>
      </c>
    </row>
    <row r="109" spans="1:6" hidden="1" x14ac:dyDescent="0.55000000000000004">
      <c r="B109" s="1" t="s">
        <v>750</v>
      </c>
      <c r="C109" s="5"/>
      <c r="E109" s="1">
        <f>E107*E108</f>
        <v>2195.5437620071921</v>
      </c>
      <c r="F109" s="1" t="s">
        <v>748</v>
      </c>
    </row>
    <row r="110" spans="1:6" hidden="1" x14ac:dyDescent="0.55000000000000004">
      <c r="B110" s="1" t="s">
        <v>753</v>
      </c>
      <c r="E110" s="1">
        <f>IF(B24="1）",E58,E77)</f>
        <v>1218.3872785123413</v>
      </c>
      <c r="F110" s="1" t="s">
        <v>748</v>
      </c>
    </row>
    <row r="111" spans="1:6" hidden="1" x14ac:dyDescent="0.55000000000000004">
      <c r="B111" s="1" t="s">
        <v>754</v>
      </c>
      <c r="E111" s="1">
        <f>E109+E110</f>
        <v>3413.9310405195333</v>
      </c>
      <c r="F111" s="1" t="s">
        <v>748</v>
      </c>
    </row>
    <row r="112" spans="1:6" hidden="1" x14ac:dyDescent="0.55000000000000004">
      <c r="B112" s="1" t="s">
        <v>749</v>
      </c>
      <c r="E112" s="1">
        <f>B38</f>
        <v>15</v>
      </c>
      <c r="F112" s="1" t="s">
        <v>740</v>
      </c>
    </row>
    <row r="113" spans="2:6" hidden="1" x14ac:dyDescent="0.55000000000000004">
      <c r="B113" s="1" t="s">
        <v>752</v>
      </c>
      <c r="E113" s="1">
        <f>E112*29</f>
        <v>435</v>
      </c>
      <c r="F113" s="1" t="s">
        <v>740</v>
      </c>
    </row>
    <row r="114" spans="2:6" hidden="1" x14ac:dyDescent="0.55000000000000004">
      <c r="B114" s="1" t="s">
        <v>755</v>
      </c>
      <c r="C114" s="5"/>
      <c r="E114" s="1">
        <f>E108*E113</f>
        <v>2067.6954640117051</v>
      </c>
      <c r="F114" s="1" t="s">
        <v>748</v>
      </c>
    </row>
    <row r="115" spans="2:6" hidden="1" x14ac:dyDescent="0.55000000000000004">
      <c r="B115" s="1" t="s">
        <v>746</v>
      </c>
      <c r="E115" s="1">
        <f>E111+E114</f>
        <v>5481.6265045312384</v>
      </c>
      <c r="F115" s="1" t="s">
        <v>748</v>
      </c>
    </row>
    <row r="116" spans="2:6" hidden="1" x14ac:dyDescent="0.55000000000000004">
      <c r="B116" s="1" t="s">
        <v>756</v>
      </c>
      <c r="E116" s="9">
        <v>1049.2493789826115</v>
      </c>
      <c r="F116" s="1" t="s">
        <v>158</v>
      </c>
    </row>
    <row r="117" spans="2:6" hidden="1" x14ac:dyDescent="0.55000000000000004">
      <c r="B117" s="1" t="s">
        <v>758</v>
      </c>
      <c r="E117" s="1">
        <f>E115*E116</f>
        <v>5751593.2056940254</v>
      </c>
      <c r="F117" s="1" t="s">
        <v>759</v>
      </c>
    </row>
    <row r="118" spans="2:6" hidden="1" x14ac:dyDescent="0.55000000000000004">
      <c r="B118" s="1" t="s">
        <v>760</v>
      </c>
      <c r="E118" s="1">
        <f>E117*9.76</f>
        <v>56135549.687573686</v>
      </c>
      <c r="F118" s="1" t="s">
        <v>761</v>
      </c>
    </row>
    <row r="119" spans="2:6" hidden="1" x14ac:dyDescent="0.55000000000000004">
      <c r="B119" s="1" t="s">
        <v>762</v>
      </c>
      <c r="E119" s="1">
        <f>E118/1000</f>
        <v>56135.549687573686</v>
      </c>
      <c r="F119" s="1" t="s">
        <v>763</v>
      </c>
    </row>
    <row r="120" spans="2:6" hidden="1" x14ac:dyDescent="0.55000000000000004">
      <c r="B120" s="1" t="s">
        <v>762</v>
      </c>
      <c r="E120" s="4">
        <f>E119/10000</f>
        <v>5.6135549687573683</v>
      </c>
      <c r="F120" s="1" t="s">
        <v>764</v>
      </c>
    </row>
    <row r="121" spans="2:6" hidden="1" x14ac:dyDescent="0.55000000000000004"/>
  </sheetData>
  <sheetProtection algorithmName="SHA-512" hashValue="yEcrasA8q0jM0jdGEXYchZkuHOUGFup+bAjY1JS8U3OkVh/WD25DjZQr25ZV1O48p8dkN9uQOncliVYqvDq9EQ==" saltValue="K0Yd1QX/DcWz56LTZ20WBQ==" spinCount="100000" sheet="1" objects="1" scenarios="1"/>
  <mergeCells count="17">
    <mergeCell ref="B44:D44"/>
    <mergeCell ref="B45:D45"/>
    <mergeCell ref="B32:G32"/>
    <mergeCell ref="B36:G36"/>
    <mergeCell ref="B40:G40"/>
    <mergeCell ref="B42:D42"/>
    <mergeCell ref="B43:D43"/>
    <mergeCell ref="C19:E19"/>
    <mergeCell ref="C20:E20"/>
    <mergeCell ref="C17:E17"/>
    <mergeCell ref="B22:G22"/>
    <mergeCell ref="B6:G6"/>
    <mergeCell ref="B8:C8"/>
    <mergeCell ref="B10:G10"/>
    <mergeCell ref="B12:C12"/>
    <mergeCell ref="B14:G14"/>
    <mergeCell ref="C18:E18"/>
  </mergeCells>
  <phoneticPr fontId="1"/>
  <pageMargins left="0.7" right="0.7" top="0.75" bottom="0.75" header="0.3" footer="0.3"/>
  <pageSetup paperSize="9" orientation="portrait" horizont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2E91250-7013-4280-B0DC-CCF2091661EA}">
          <x14:formula1>
            <xm:f>SIM用基本データ!$L$142:$L$143</xm:f>
          </x14:formula1>
          <xm:sqref>B24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10AD6-262C-4A6E-9CF5-3099189530A1}">
  <dimension ref="A1:K35"/>
  <sheetViews>
    <sheetView zoomScaleNormal="100" workbookViewId="0">
      <selection activeCell="J38" sqref="J38"/>
    </sheetView>
  </sheetViews>
  <sheetFormatPr defaultRowHeight="15" x14ac:dyDescent="0.55000000000000004"/>
  <cols>
    <col min="1" max="2" width="8.6640625" style="2"/>
    <col min="3" max="3" width="18.58203125" style="2" customWidth="1"/>
    <col min="4" max="10" width="10.25" style="2" customWidth="1"/>
    <col min="11" max="16384" width="8.6640625" style="2"/>
  </cols>
  <sheetData>
    <row r="1" spans="1:11" ht="22.5" x14ac:dyDescent="0.55000000000000004">
      <c r="A1" s="70" t="s">
        <v>426</v>
      </c>
    </row>
    <row r="2" spans="1:11" s="117" customFormat="1" ht="18" x14ac:dyDescent="0.55000000000000004">
      <c r="A2" s="94"/>
      <c r="B2" s="164" t="s">
        <v>568</v>
      </c>
      <c r="C2" s="164"/>
      <c r="D2" s="165" t="s">
        <v>570</v>
      </c>
      <c r="E2" s="165"/>
      <c r="F2" s="165"/>
      <c r="G2" s="8" t="s">
        <v>569</v>
      </c>
    </row>
    <row r="3" spans="1:11" ht="20" x14ac:dyDescent="0.55000000000000004">
      <c r="B3" s="166" t="s">
        <v>566</v>
      </c>
      <c r="C3" s="166"/>
    </row>
    <row r="4" spans="1:11" x14ac:dyDescent="0.55000000000000004">
      <c r="B4" s="163" t="s">
        <v>549</v>
      </c>
      <c r="C4" s="163"/>
      <c r="D4" s="165" t="str">
        <f>戸建ての計算!B22</f>
        <v>国交省想定</v>
      </c>
      <c r="E4" s="165"/>
    </row>
    <row r="5" spans="1:11" x14ac:dyDescent="0.55000000000000004">
      <c r="B5" s="163" t="s">
        <v>554</v>
      </c>
      <c r="C5" s="163"/>
      <c r="D5" s="114" t="str">
        <f>IF($D$4="国交省想定","BEI","")</f>
        <v>BEI</v>
      </c>
      <c r="E5" s="113" t="str">
        <f>IF($D$4="国交省想定","1.0","想定①")</f>
        <v>1.0</v>
      </c>
      <c r="F5" s="31" t="str">
        <f>IF($D$4="国交省想定","0.9","想定②")</f>
        <v>0.9</v>
      </c>
      <c r="G5" s="31" t="str">
        <f>IF($D$4="国交省想定","0.85","想定③")</f>
        <v>0.85</v>
      </c>
      <c r="H5" s="34"/>
      <c r="I5" s="34"/>
      <c r="J5" s="34"/>
      <c r="K5" s="34"/>
    </row>
    <row r="6" spans="1:11" x14ac:dyDescent="0.55000000000000004">
      <c r="B6" s="163"/>
      <c r="C6" s="163"/>
      <c r="D6" s="115" t="s">
        <v>553</v>
      </c>
      <c r="E6" s="31">
        <f>IF($D$4="国交省想定",戸建ての計算!D29,戸建ての計算!E44)</f>
        <v>80.7</v>
      </c>
      <c r="F6" s="31">
        <f>IF($D$4="国交省想定",戸建ての計算!E29,戸建ての計算!F44)</f>
        <v>74.8</v>
      </c>
      <c r="G6" s="31">
        <f>IF($D$4="国交省想定",戸建ての計算!F29,戸建ての計算!G44)</f>
        <v>71.8</v>
      </c>
      <c r="H6" s="34" t="s">
        <v>560</v>
      </c>
      <c r="I6" s="34"/>
      <c r="J6" s="34"/>
    </row>
    <row r="7" spans="1:11" x14ac:dyDescent="0.55000000000000004">
      <c r="B7" s="163"/>
      <c r="C7" s="163"/>
      <c r="D7" s="115" t="s">
        <v>550</v>
      </c>
      <c r="E7" s="31" t="str">
        <f>IF($D$4="国交省想定","－",戸建ての計算!E51)</f>
        <v>－</v>
      </c>
      <c r="F7" s="31" t="str">
        <f>IF($D$4="国交省想定","－",戸建ての計算!F51)</f>
        <v>－</v>
      </c>
      <c r="G7" s="31" t="str">
        <f>IF($D$4="国交省想定","－",戸建ての計算!G51)</f>
        <v>－</v>
      </c>
      <c r="H7" s="34" t="s">
        <v>561</v>
      </c>
      <c r="I7" s="34"/>
      <c r="J7" s="34"/>
    </row>
    <row r="8" spans="1:11" x14ac:dyDescent="0.55000000000000004">
      <c r="B8" s="163"/>
      <c r="C8" s="163"/>
      <c r="D8" s="115" t="s">
        <v>551</v>
      </c>
      <c r="E8" s="31">
        <f>IF($D$4="国交省想定",戸建ての計算!D30,戸建ての計算!E52)</f>
        <v>9.1999999999999993</v>
      </c>
      <c r="F8" s="31">
        <f>IF($D$4="国交省想定",戸建ての計算!E30,戸建ての計算!F52)</f>
        <v>6</v>
      </c>
      <c r="G8" s="31">
        <f>IF($D$4="国交省想定",戸建ての計算!F30,戸建ての計算!G52)</f>
        <v>20.100000000000001</v>
      </c>
      <c r="H8" s="34" t="s">
        <v>561</v>
      </c>
      <c r="I8" s="34"/>
      <c r="J8" s="34"/>
    </row>
    <row r="9" spans="1:11" x14ac:dyDescent="0.55000000000000004">
      <c r="B9" s="163"/>
      <c r="C9" s="163"/>
      <c r="D9" s="115" t="s">
        <v>552</v>
      </c>
      <c r="E9" s="31">
        <f>IF($D$4="国交省想定",戸建ての計算!D32,戸建ての計算!E53)</f>
        <v>0</v>
      </c>
      <c r="F9" s="31">
        <f>IF($D$4="国交省想定",戸建ての計算!E32,戸建ての計算!F53)</f>
        <v>0</v>
      </c>
      <c r="G9" s="31">
        <f>IF($D$4="国交省想定",戸建ての計算!F32,戸建ての計算!G53)</f>
        <v>0</v>
      </c>
      <c r="H9" s="34" t="s">
        <v>561</v>
      </c>
      <c r="I9" s="34"/>
      <c r="J9" s="34"/>
    </row>
    <row r="10" spans="1:11" x14ac:dyDescent="0.55000000000000004">
      <c r="B10" s="163" t="s">
        <v>555</v>
      </c>
      <c r="C10" s="163"/>
      <c r="D10" s="115"/>
      <c r="E10" s="31" t="str">
        <f>IF($D$4="国交省想定","ー","想定①")</f>
        <v>ー</v>
      </c>
      <c r="F10" s="31" t="str">
        <f>IF($D$4="国交省想定","ー","想定②")</f>
        <v>ー</v>
      </c>
      <c r="G10" s="31" t="str">
        <f>IF($D$4="国交省想定","ー","想定③")</f>
        <v>ー</v>
      </c>
      <c r="H10" s="34"/>
      <c r="I10" s="34"/>
      <c r="J10" s="34"/>
    </row>
    <row r="11" spans="1:11" x14ac:dyDescent="0.55000000000000004">
      <c r="B11" s="163"/>
      <c r="C11" s="163"/>
      <c r="D11" s="115" t="s">
        <v>556</v>
      </c>
      <c r="E11" s="31" t="str">
        <f>IF($D$4="国交省想定","ー",戸建ての計算!E39)</f>
        <v>ー</v>
      </c>
      <c r="F11" s="31" t="str">
        <f>IF($D$4="国交省想定","ー",戸建ての計算!F39)</f>
        <v>ー</v>
      </c>
      <c r="G11" s="31" t="str">
        <f>IF($D$4="国交省想定","ー",戸建ての計算!G39)</f>
        <v>ー</v>
      </c>
      <c r="H11" s="34"/>
      <c r="I11" s="34"/>
      <c r="J11" s="34"/>
    </row>
    <row r="12" spans="1:11" x14ac:dyDescent="0.55000000000000004">
      <c r="B12" s="163"/>
      <c r="C12" s="163"/>
      <c r="D12" s="115" t="s">
        <v>237</v>
      </c>
      <c r="E12" s="31" t="str">
        <f>IF($D$4="国交省想定","ー",戸建ての計算!E40)</f>
        <v>ー</v>
      </c>
      <c r="F12" s="31" t="str">
        <f>IF($D$4="国交省想定","ー",戸建ての計算!F40)</f>
        <v>ー</v>
      </c>
      <c r="G12" s="31" t="str">
        <f>IF($D$4="国交省想定","ー",戸建ての計算!G40)</f>
        <v>ー</v>
      </c>
      <c r="H12" s="34"/>
      <c r="I12" s="34"/>
      <c r="J12" s="34"/>
    </row>
    <row r="13" spans="1:11" x14ac:dyDescent="0.55000000000000004">
      <c r="B13" s="163"/>
      <c r="C13" s="163"/>
      <c r="D13" s="115" t="s">
        <v>291</v>
      </c>
      <c r="E13" s="31" t="str">
        <f>IF($D$4="国交省想定","ー",戸建ての計算!E41)</f>
        <v>ー</v>
      </c>
      <c r="F13" s="31" t="str">
        <f>IF($D$4="国交省想定","ー",戸建ての計算!F41)</f>
        <v>ー</v>
      </c>
      <c r="G13" s="31" t="str">
        <f>IF($D$4="国交省想定","ー",戸建ての計算!G41)</f>
        <v>ー</v>
      </c>
      <c r="H13" s="34"/>
      <c r="I13" s="34"/>
      <c r="J13" s="34"/>
    </row>
    <row r="14" spans="1:11" x14ac:dyDescent="0.55000000000000004">
      <c r="B14" s="163"/>
      <c r="C14" s="163"/>
      <c r="D14" s="115" t="s">
        <v>279</v>
      </c>
      <c r="E14" s="31" t="str">
        <f>IF($D$4="国交省想定","ー",戸建ての計算!E42)</f>
        <v>ー</v>
      </c>
      <c r="F14" s="31" t="str">
        <f>IF($D$4="国交省想定","ー",戸建ての計算!F42)</f>
        <v>ー</v>
      </c>
      <c r="G14" s="31" t="str">
        <f>IF($D$4="国交省想定","ー",戸建ての計算!G42)</f>
        <v>ー</v>
      </c>
      <c r="H14" s="34"/>
      <c r="I14" s="34"/>
      <c r="J14" s="34"/>
    </row>
    <row r="15" spans="1:11" x14ac:dyDescent="0.55000000000000004">
      <c r="B15" s="163"/>
      <c r="C15" s="163"/>
      <c r="D15" s="116" t="s">
        <v>294</v>
      </c>
      <c r="E15" s="31" t="str">
        <f>IF($D$4="国交省想定","ー",戸建ての計算!E43)</f>
        <v>ー</v>
      </c>
      <c r="F15" s="31" t="str">
        <f>IF($D$4="国交省想定","ー",戸建ての計算!F43)</f>
        <v>ー</v>
      </c>
      <c r="G15" s="31" t="str">
        <f>IF($D$4="国交省想定","ー",戸建ての計算!G43)</f>
        <v>ー</v>
      </c>
      <c r="H15" s="34"/>
      <c r="I15" s="34"/>
      <c r="J15" s="34"/>
    </row>
    <row r="16" spans="1:11" x14ac:dyDescent="0.55000000000000004">
      <c r="B16" s="163"/>
      <c r="C16" s="163"/>
      <c r="D16" s="111"/>
      <c r="E16" s="111"/>
      <c r="F16" s="111"/>
      <c r="G16" s="34"/>
      <c r="H16" s="34"/>
      <c r="I16" s="34"/>
      <c r="J16" s="34"/>
    </row>
    <row r="17" spans="2:8" x14ac:dyDescent="0.55000000000000004">
      <c r="B17" s="163"/>
      <c r="C17" s="163"/>
      <c r="D17" s="169" t="s">
        <v>557</v>
      </c>
      <c r="E17" s="165"/>
      <c r="F17" s="31" t="str">
        <f>IF($D$4="国交省想定","ー",戸建ての計算!E46)</f>
        <v>ー</v>
      </c>
    </row>
    <row r="19" spans="2:8" x14ac:dyDescent="0.55000000000000004">
      <c r="B19" s="163" t="s">
        <v>558</v>
      </c>
      <c r="C19" s="163"/>
      <c r="D19" s="165" t="s">
        <v>559</v>
      </c>
      <c r="E19" s="165"/>
      <c r="F19" s="31">
        <f>戸建ての計算!E67</f>
        <v>25</v>
      </c>
      <c r="G19" s="110" t="s">
        <v>562</v>
      </c>
      <c r="H19" s="112"/>
    </row>
    <row r="20" spans="2:8" x14ac:dyDescent="0.55000000000000004">
      <c r="B20" s="163"/>
      <c r="C20" s="163"/>
      <c r="D20" s="165" t="s">
        <v>563</v>
      </c>
      <c r="E20" s="165"/>
      <c r="F20" s="167" t="str">
        <f>IF(戸建ての計算!C72="①","ひとつ上の性能に改修（国交省想定）","H4より低いレベルはすべてBEI1.0に改修")</f>
        <v>ひとつ上の性能に改修（国交省想定）</v>
      </c>
      <c r="G20" s="168"/>
      <c r="H20" s="169"/>
    </row>
    <row r="21" spans="2:8" x14ac:dyDescent="0.55000000000000004">
      <c r="B21" s="163"/>
      <c r="C21" s="163"/>
      <c r="D21" s="165" t="s">
        <v>564</v>
      </c>
      <c r="E21" s="165"/>
      <c r="F21" s="31" t="s">
        <v>565</v>
      </c>
      <c r="G21" s="31" t="s">
        <v>27</v>
      </c>
      <c r="H21" s="31" t="s">
        <v>28</v>
      </c>
    </row>
    <row r="22" spans="2:8" x14ac:dyDescent="0.55000000000000004">
      <c r="B22" s="163"/>
      <c r="C22" s="163"/>
      <c r="D22" s="165"/>
      <c r="E22" s="165"/>
      <c r="F22" s="31">
        <f>IF(戸建ての計算!$C$72="①",戸建ての計算!D76,戸建ての計算!D78)</f>
        <v>1</v>
      </c>
      <c r="G22" s="31">
        <f>IF(戸建ての計算!$C$72="①",戸建ての計算!E76,戸建ての計算!E78)</f>
        <v>1</v>
      </c>
      <c r="H22" s="31">
        <f>IF(戸建ての計算!$C$72="①",戸建ての計算!F76,戸建ての計算!F78)</f>
        <v>0.72</v>
      </c>
    </row>
    <row r="23" spans="2:8" ht="20" x14ac:dyDescent="0.55000000000000004">
      <c r="B23" s="166" t="s">
        <v>567</v>
      </c>
      <c r="C23" s="166"/>
    </row>
    <row r="24" spans="2:8" x14ac:dyDescent="0.55000000000000004">
      <c r="D24" s="162" t="s">
        <v>427</v>
      </c>
      <c r="E24" s="162"/>
      <c r="F24" s="162"/>
    </row>
    <row r="25" spans="2:8" x14ac:dyDescent="0.55000000000000004">
      <c r="B25" s="145"/>
      <c r="C25" s="145"/>
      <c r="D25" s="41" t="s">
        <v>419</v>
      </c>
      <c r="E25" s="41" t="s">
        <v>423</v>
      </c>
      <c r="F25" s="41" t="s">
        <v>361</v>
      </c>
    </row>
    <row r="26" spans="2:8" x14ac:dyDescent="0.55000000000000004">
      <c r="B26" s="163" t="s">
        <v>362</v>
      </c>
      <c r="C26" s="163"/>
      <c r="D26" s="108">
        <f>戸建ての計算!F59</f>
        <v>165</v>
      </c>
      <c r="E26" s="44">
        <f>戸建ての計算!F60</f>
        <v>165</v>
      </c>
      <c r="F26" s="109">
        <f>E26-D26</f>
        <v>0</v>
      </c>
    </row>
    <row r="27" spans="2:8" x14ac:dyDescent="0.55000000000000004">
      <c r="B27" s="163" t="s">
        <v>363</v>
      </c>
      <c r="C27" s="163"/>
      <c r="D27" s="108">
        <f>共同住宅の計算!G24</f>
        <v>88.5</v>
      </c>
      <c r="E27" s="44">
        <f>共同住宅の計算!G25</f>
        <v>88.5</v>
      </c>
      <c r="F27" s="109">
        <f t="shared" ref="F27:F35" si="0">E27-D27</f>
        <v>0</v>
      </c>
    </row>
    <row r="28" spans="2:8" x14ac:dyDescent="0.55000000000000004">
      <c r="B28" s="161" t="s">
        <v>95</v>
      </c>
      <c r="C28" s="161"/>
      <c r="D28" s="108">
        <f>SUM(D26:D27)</f>
        <v>253.5</v>
      </c>
      <c r="E28" s="44">
        <f>SUM(E26:E27)</f>
        <v>253.5</v>
      </c>
      <c r="F28" s="109">
        <f t="shared" si="0"/>
        <v>0</v>
      </c>
      <c r="G28" s="8" t="s">
        <v>728</v>
      </c>
    </row>
    <row r="29" spans="2:8" x14ac:dyDescent="0.55000000000000004">
      <c r="B29" s="163" t="s">
        <v>372</v>
      </c>
      <c r="C29" s="163"/>
      <c r="D29" s="108">
        <f>戸建ての計算!F84</f>
        <v>89.3</v>
      </c>
      <c r="E29" s="44">
        <f>戸建ての計算!F85</f>
        <v>89.3</v>
      </c>
      <c r="F29" s="109">
        <f t="shared" si="0"/>
        <v>0</v>
      </c>
    </row>
    <row r="30" spans="2:8" x14ac:dyDescent="0.55000000000000004">
      <c r="B30" s="163" t="s">
        <v>373</v>
      </c>
      <c r="C30" s="163"/>
      <c r="D30" s="108">
        <f>共同住宅の計算!G46</f>
        <v>1.7</v>
      </c>
      <c r="E30" s="44">
        <f>共同住宅の計算!G47</f>
        <v>1.7</v>
      </c>
      <c r="F30" s="109">
        <f t="shared" si="0"/>
        <v>0</v>
      </c>
    </row>
    <row r="31" spans="2:8" x14ac:dyDescent="0.55000000000000004">
      <c r="B31" s="161" t="s">
        <v>421</v>
      </c>
      <c r="C31" s="161"/>
      <c r="D31" s="108">
        <f>SUM(D29:D30)</f>
        <v>91</v>
      </c>
      <c r="E31" s="44">
        <f>SUM(E29:E30)</f>
        <v>91</v>
      </c>
      <c r="F31" s="109">
        <f t="shared" si="0"/>
        <v>0</v>
      </c>
    </row>
    <row r="32" spans="2:8" x14ac:dyDescent="0.55000000000000004">
      <c r="B32" s="161" t="s">
        <v>424</v>
      </c>
      <c r="C32" s="161"/>
      <c r="D32" s="108">
        <f>D28+D31</f>
        <v>344.5</v>
      </c>
      <c r="E32" s="44">
        <f>E28+E31</f>
        <v>344.5</v>
      </c>
      <c r="F32" s="109">
        <f t="shared" si="0"/>
        <v>0</v>
      </c>
    </row>
    <row r="33" spans="2:7" x14ac:dyDescent="0.55000000000000004">
      <c r="B33" s="163" t="s">
        <v>420</v>
      </c>
      <c r="C33" s="163"/>
      <c r="D33" s="108">
        <f>太陽光発電の計算!F18</f>
        <v>176.3</v>
      </c>
      <c r="E33" s="44">
        <f>IF(太陽光発電の計算!B24="1）",太陽光発電の計算!F19,太陽光発電の計算!G19)</f>
        <v>306.8</v>
      </c>
      <c r="F33" s="109">
        <f t="shared" si="0"/>
        <v>130.5</v>
      </c>
    </row>
    <row r="34" spans="2:7" x14ac:dyDescent="0.55000000000000004">
      <c r="B34" s="161" t="s">
        <v>422</v>
      </c>
      <c r="C34" s="161"/>
      <c r="D34" s="108">
        <f>D32+D33</f>
        <v>520.79999999999995</v>
      </c>
      <c r="E34" s="44">
        <f>E32+E33</f>
        <v>651.29999999999995</v>
      </c>
      <c r="F34" s="109">
        <f t="shared" si="0"/>
        <v>130.5</v>
      </c>
      <c r="G34" s="8" t="s">
        <v>729</v>
      </c>
    </row>
    <row r="35" spans="2:7" x14ac:dyDescent="0.55000000000000004">
      <c r="B35" s="161" t="s">
        <v>425</v>
      </c>
      <c r="C35" s="161"/>
      <c r="D35" s="108">
        <f>D26+D33</f>
        <v>341.3</v>
      </c>
      <c r="E35" s="44">
        <f>E26+E33</f>
        <v>471.8</v>
      </c>
      <c r="F35" s="109">
        <f t="shared" si="0"/>
        <v>130.5</v>
      </c>
    </row>
  </sheetData>
  <sheetProtection algorithmName="SHA-512" hashValue="PaRG5MzpQQrRCnZJHCUKv3QHis5Eo7+bB5i8VU0hBWmku49IQ41pci1kwcJGwBGTUVrmXR73cslzHUU/gADvxg==" saltValue="VWyNyUMDOXHNKEOPGgvhPg==" spinCount="100000" sheet="1" objects="1" scenarios="1"/>
  <mergeCells count="26">
    <mergeCell ref="B2:C2"/>
    <mergeCell ref="D2:F2"/>
    <mergeCell ref="B23:C23"/>
    <mergeCell ref="F20:H20"/>
    <mergeCell ref="B5:C9"/>
    <mergeCell ref="B10:C17"/>
    <mergeCell ref="B19:C22"/>
    <mergeCell ref="D19:E19"/>
    <mergeCell ref="D20:E20"/>
    <mergeCell ref="D21:E22"/>
    <mergeCell ref="B3:C3"/>
    <mergeCell ref="D17:E17"/>
    <mergeCell ref="B4:C4"/>
    <mergeCell ref="D4:E4"/>
    <mergeCell ref="B35:C35"/>
    <mergeCell ref="D24:F24"/>
    <mergeCell ref="B30:C30"/>
    <mergeCell ref="B31:C31"/>
    <mergeCell ref="B34:C34"/>
    <mergeCell ref="B25:C25"/>
    <mergeCell ref="B28:C28"/>
    <mergeCell ref="B32:C32"/>
    <mergeCell ref="B26:C26"/>
    <mergeCell ref="B33:C33"/>
    <mergeCell ref="B27:C27"/>
    <mergeCell ref="B29:C29"/>
  </mergeCells>
  <phoneticPr fontId="1"/>
  <pageMargins left="0.7" right="0.7" top="0.75" bottom="0.75" header="0.3" footer="0.3"/>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D3E7D-3DDF-4CE5-8CD6-D608528CB862}">
  <dimension ref="A1:G24"/>
  <sheetViews>
    <sheetView workbookViewId="0"/>
  </sheetViews>
  <sheetFormatPr defaultRowHeight="15" x14ac:dyDescent="0.55000000000000004"/>
  <cols>
    <col min="1" max="16384" width="8.6640625" style="1"/>
  </cols>
  <sheetData>
    <row r="1" spans="1:7" ht="22.5" x14ac:dyDescent="0.55000000000000004">
      <c r="A1" s="70" t="s">
        <v>799</v>
      </c>
    </row>
    <row r="3" spans="1:7" ht="20" x14ac:dyDescent="0.55000000000000004">
      <c r="A3" s="71" t="s">
        <v>771</v>
      </c>
    </row>
    <row r="5" spans="1:7" x14ac:dyDescent="0.55000000000000004">
      <c r="B5" s="145" t="s">
        <v>772</v>
      </c>
      <c r="C5" s="145"/>
      <c r="D5" s="145"/>
      <c r="E5" s="145"/>
      <c r="F5" s="44">
        <f>戸建ての計算!F148</f>
        <v>16.3</v>
      </c>
      <c r="G5" s="4" t="s">
        <v>579</v>
      </c>
    </row>
    <row r="6" spans="1:7" x14ac:dyDescent="0.55000000000000004">
      <c r="B6" s="145" t="s">
        <v>773</v>
      </c>
      <c r="C6" s="145"/>
      <c r="D6" s="145"/>
      <c r="E6" s="145"/>
      <c r="F6" s="44">
        <f>共同住宅の計算!F88</f>
        <v>13.5</v>
      </c>
      <c r="G6" s="4" t="s">
        <v>579</v>
      </c>
    </row>
    <row r="7" spans="1:7" x14ac:dyDescent="0.55000000000000004">
      <c r="B7" s="145" t="s">
        <v>789</v>
      </c>
      <c r="C7" s="145"/>
      <c r="D7" s="145"/>
      <c r="E7" s="145"/>
      <c r="F7" s="44">
        <f>SUM(F5:F6)</f>
        <v>29.8</v>
      </c>
      <c r="G7" s="4" t="s">
        <v>579</v>
      </c>
    </row>
    <row r="8" spans="1:7" x14ac:dyDescent="0.55000000000000004">
      <c r="B8" s="145" t="s">
        <v>774</v>
      </c>
      <c r="C8" s="145"/>
      <c r="D8" s="145"/>
      <c r="E8" s="145"/>
      <c r="F8" s="44">
        <f>太陽光発電の計算!E45</f>
        <v>5.6</v>
      </c>
      <c r="G8" s="4" t="s">
        <v>579</v>
      </c>
    </row>
    <row r="9" spans="1:7" x14ac:dyDescent="0.55000000000000004">
      <c r="B9" s="145" t="s">
        <v>776</v>
      </c>
      <c r="C9" s="145"/>
      <c r="D9" s="145"/>
      <c r="E9" s="145"/>
      <c r="F9" s="44">
        <f>F7-F8</f>
        <v>24.200000000000003</v>
      </c>
      <c r="G9" s="4" t="s">
        <v>579</v>
      </c>
    </row>
    <row r="11" spans="1:7" ht="20" x14ac:dyDescent="0.55000000000000004">
      <c r="A11" s="71" t="s">
        <v>777</v>
      </c>
    </row>
    <row r="12" spans="1:7" x14ac:dyDescent="0.55000000000000004">
      <c r="B12" s="4" t="s">
        <v>790</v>
      </c>
    </row>
    <row r="13" spans="1:7" x14ac:dyDescent="0.55000000000000004">
      <c r="B13" s="4" t="s">
        <v>780</v>
      </c>
    </row>
    <row r="14" spans="1:7" x14ac:dyDescent="0.55000000000000004">
      <c r="B14" s="4" t="s">
        <v>778</v>
      </c>
    </row>
    <row r="15" spans="1:7" x14ac:dyDescent="0.55000000000000004">
      <c r="B15" s="4" t="s">
        <v>779</v>
      </c>
    </row>
    <row r="16" spans="1:7" x14ac:dyDescent="0.55000000000000004">
      <c r="B16" s="4" t="s">
        <v>781</v>
      </c>
    </row>
    <row r="17" spans="1:2" x14ac:dyDescent="0.55000000000000004">
      <c r="B17" s="4" t="s">
        <v>782</v>
      </c>
    </row>
    <row r="18" spans="1:2" x14ac:dyDescent="0.55000000000000004">
      <c r="B18" s="4" t="s">
        <v>783</v>
      </c>
    </row>
    <row r="19" spans="1:2" x14ac:dyDescent="0.55000000000000004">
      <c r="B19" s="4" t="s">
        <v>784</v>
      </c>
    </row>
    <row r="21" spans="1:2" ht="20" x14ac:dyDescent="0.55000000000000004">
      <c r="A21" s="71" t="s">
        <v>785</v>
      </c>
    </row>
    <row r="22" spans="1:2" x14ac:dyDescent="0.55000000000000004">
      <c r="B22" s="4" t="s">
        <v>791</v>
      </c>
    </row>
    <row r="23" spans="1:2" x14ac:dyDescent="0.55000000000000004">
      <c r="B23" s="4" t="s">
        <v>792</v>
      </c>
    </row>
    <row r="24" spans="1:2" x14ac:dyDescent="0.55000000000000004">
      <c r="B24" s="4" t="s">
        <v>793</v>
      </c>
    </row>
  </sheetData>
  <sheetProtection algorithmName="SHA-512" hashValue="G0CklDwSnoJ1CEZTVsx5M12Tf67GlVmgA7E8lrqX2zF2Au21e+dAfdiZ5fU+LRO+mEpUS22KSaPVIqtAJIKoKA==" saltValue="9Wcgzl1q55LluWDYhn8Stw==" spinCount="100000" sheet="1" objects="1" scenarios="1"/>
  <mergeCells count="5">
    <mergeCell ref="B5:E5"/>
    <mergeCell ref="B6:E6"/>
    <mergeCell ref="B7:E7"/>
    <mergeCell ref="B8:E8"/>
    <mergeCell ref="B9:E9"/>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36285-19EA-40B8-96AC-9FA94C1305E8}">
  <dimension ref="A1:W173"/>
  <sheetViews>
    <sheetView topLeftCell="F105" zoomScaleNormal="100" workbookViewId="0">
      <selection activeCell="R140" sqref="R140"/>
    </sheetView>
  </sheetViews>
  <sheetFormatPr defaultColWidth="8.58203125" defaultRowHeight="15" x14ac:dyDescent="0.55000000000000004"/>
  <cols>
    <col min="1" max="17" width="8.58203125" style="1"/>
    <col min="18" max="18" width="8.6640625" style="1" customWidth="1"/>
    <col min="19" max="16384" width="8.58203125" style="1"/>
  </cols>
  <sheetData>
    <row r="1" spans="1:4" x14ac:dyDescent="0.55000000000000004">
      <c r="A1" s="4" t="s">
        <v>17</v>
      </c>
    </row>
    <row r="2" spans="1:4" x14ac:dyDescent="0.55000000000000004">
      <c r="C2" s="1" t="s">
        <v>22</v>
      </c>
      <c r="D2" s="1" t="s">
        <v>23</v>
      </c>
    </row>
    <row r="3" spans="1:4" x14ac:dyDescent="0.55000000000000004">
      <c r="B3" s="1">
        <v>2019</v>
      </c>
      <c r="C3" s="1">
        <v>43.4</v>
      </c>
      <c r="D3" s="1">
        <v>44.9</v>
      </c>
    </row>
    <row r="5" spans="1:4" x14ac:dyDescent="0.55000000000000004">
      <c r="B5" s="1">
        <v>2020</v>
      </c>
      <c r="C5" s="1">
        <v>39.700000000000003</v>
      </c>
      <c r="D5" s="1">
        <v>41.5</v>
      </c>
    </row>
    <row r="7" spans="1:4" x14ac:dyDescent="0.55000000000000004">
      <c r="B7" s="1">
        <v>2021</v>
      </c>
      <c r="C7" s="1">
        <v>41.9</v>
      </c>
      <c r="D7" s="1">
        <v>44.9</v>
      </c>
    </row>
    <row r="9" spans="1:4" x14ac:dyDescent="0.55000000000000004">
      <c r="B9" s="1">
        <v>2022</v>
      </c>
      <c r="C9" s="1">
        <v>41.077853942067946</v>
      </c>
      <c r="D9" s="1">
        <v>46.922146057932046</v>
      </c>
    </row>
    <row r="11" spans="1:4" x14ac:dyDescent="0.55000000000000004">
      <c r="B11" s="1">
        <v>2023</v>
      </c>
      <c r="C11" s="1">
        <v>40.260964801174552</v>
      </c>
      <c r="D11" s="1">
        <v>45.989035198825441</v>
      </c>
    </row>
    <row r="13" spans="1:4" x14ac:dyDescent="0.55000000000000004">
      <c r="B13" s="1">
        <v>2024</v>
      </c>
      <c r="C13" s="1">
        <v>39.444075660281158</v>
      </c>
      <c r="D13" s="1">
        <v>45.055924339718842</v>
      </c>
    </row>
    <row r="15" spans="1:4" x14ac:dyDescent="0.55000000000000004">
      <c r="B15" s="1">
        <v>2025</v>
      </c>
      <c r="C15" s="1">
        <v>38.627186519387756</v>
      </c>
      <c r="D15" s="1">
        <v>44.122813480612237</v>
      </c>
    </row>
    <row r="17" spans="1:16" x14ac:dyDescent="0.55000000000000004">
      <c r="B17" s="1">
        <v>2026</v>
      </c>
      <c r="C17" s="1">
        <v>37.810297378494361</v>
      </c>
      <c r="D17" s="1">
        <v>43.189702621505631</v>
      </c>
    </row>
    <row r="19" spans="1:16" x14ac:dyDescent="0.55000000000000004">
      <c r="B19" s="1">
        <v>2027</v>
      </c>
      <c r="C19" s="1">
        <v>36.993408237600967</v>
      </c>
      <c r="D19" s="1">
        <v>42.256591762399033</v>
      </c>
    </row>
    <row r="21" spans="1:16" x14ac:dyDescent="0.55000000000000004">
      <c r="B21" s="1">
        <v>2028</v>
      </c>
      <c r="C21" s="1">
        <v>36.176519096707565</v>
      </c>
      <c r="D21" s="1">
        <v>41.323480903292428</v>
      </c>
    </row>
    <row r="23" spans="1:16" x14ac:dyDescent="0.55000000000000004">
      <c r="B23" s="1">
        <v>2029</v>
      </c>
      <c r="C23" s="1">
        <v>35.359629955814171</v>
      </c>
      <c r="D23" s="1">
        <v>40.390370044185822</v>
      </c>
    </row>
    <row r="25" spans="1:16" x14ac:dyDescent="0.55000000000000004">
      <c r="B25" s="1">
        <v>2030</v>
      </c>
      <c r="C25" s="1">
        <v>34.542740814920776</v>
      </c>
      <c r="D25" s="1">
        <v>39.457259185079224</v>
      </c>
      <c r="E25" s="1">
        <f>SUM(C25:D25)</f>
        <v>74</v>
      </c>
    </row>
    <row r="26" spans="1:16" x14ac:dyDescent="0.55000000000000004">
      <c r="C26" s="1">
        <f>SUM(C9:C25)</f>
        <v>340.29267640644923</v>
      </c>
      <c r="D26" s="1">
        <f>SUM(D9:D25)</f>
        <v>388.70732359355071</v>
      </c>
    </row>
    <row r="28" spans="1:16" x14ac:dyDescent="0.55000000000000004">
      <c r="A28" s="4" t="s">
        <v>79</v>
      </c>
    </row>
    <row r="29" spans="1:16" x14ac:dyDescent="0.55000000000000004">
      <c r="F29" s="1" t="s">
        <v>41</v>
      </c>
      <c r="G29" s="1" t="s">
        <v>27</v>
      </c>
      <c r="H29" s="1" t="s">
        <v>28</v>
      </c>
      <c r="I29" s="1" t="s">
        <v>29</v>
      </c>
      <c r="J29" s="1" t="s">
        <v>30</v>
      </c>
      <c r="K29" s="1" t="s">
        <v>39</v>
      </c>
      <c r="L29" s="1" t="s">
        <v>31</v>
      </c>
      <c r="M29" s="1" t="s">
        <v>32</v>
      </c>
      <c r="N29" s="1" t="s">
        <v>33</v>
      </c>
      <c r="O29" s="1" t="s">
        <v>43</v>
      </c>
      <c r="P29" s="1" t="s">
        <v>34</v>
      </c>
    </row>
    <row r="30" spans="1:16" x14ac:dyDescent="0.55000000000000004">
      <c r="E30" s="1" t="s">
        <v>80</v>
      </c>
      <c r="F30" s="1">
        <v>134.4</v>
      </c>
      <c r="G30" s="1">
        <v>93.1</v>
      </c>
      <c r="H30" s="1">
        <v>90</v>
      </c>
      <c r="I30" s="1">
        <v>80.7</v>
      </c>
      <c r="J30" s="1">
        <v>80.7</v>
      </c>
      <c r="K30" s="1">
        <v>74.8</v>
      </c>
      <c r="L30" s="1">
        <v>71.8</v>
      </c>
      <c r="M30" s="1">
        <v>68.8</v>
      </c>
      <c r="N30" s="1">
        <v>65.8</v>
      </c>
      <c r="O30" s="1">
        <v>0</v>
      </c>
      <c r="P30" s="1">
        <v>59.9</v>
      </c>
    </row>
    <row r="31" spans="1:16" x14ac:dyDescent="0.55000000000000004">
      <c r="E31" s="1" t="s">
        <v>81</v>
      </c>
      <c r="F31" s="1">
        <v>82</v>
      </c>
      <c r="G31" s="1">
        <v>75.400000000000006</v>
      </c>
      <c r="H31" s="1">
        <v>68.8</v>
      </c>
      <c r="I31" s="1">
        <v>62.8</v>
      </c>
      <c r="J31" s="1">
        <v>62.8</v>
      </c>
      <c r="K31" s="1">
        <v>58.2</v>
      </c>
      <c r="L31" s="1">
        <v>55.9</v>
      </c>
      <c r="M31" s="1">
        <v>53.5</v>
      </c>
      <c r="N31" s="1">
        <v>51.2</v>
      </c>
      <c r="O31" s="1">
        <v>48.9</v>
      </c>
      <c r="P31" s="1">
        <v>0</v>
      </c>
    </row>
    <row r="32" spans="1:16" x14ac:dyDescent="0.55000000000000004">
      <c r="A32" s="4" t="s">
        <v>84</v>
      </c>
    </row>
    <row r="33" spans="1:17" x14ac:dyDescent="0.55000000000000004">
      <c r="F33" s="1" t="s">
        <v>41</v>
      </c>
      <c r="G33" s="1" t="s">
        <v>27</v>
      </c>
      <c r="H33" s="1" t="s">
        <v>28</v>
      </c>
      <c r="I33" s="1" t="s">
        <v>29</v>
      </c>
      <c r="J33" s="1" t="s">
        <v>30</v>
      </c>
      <c r="K33" s="1" t="s">
        <v>39</v>
      </c>
      <c r="L33" s="1" t="s">
        <v>31</v>
      </c>
      <c r="M33" s="1" t="s">
        <v>32</v>
      </c>
      <c r="N33" s="1" t="s">
        <v>33</v>
      </c>
      <c r="O33" s="1" t="s">
        <v>43</v>
      </c>
      <c r="P33" s="1" t="s">
        <v>34</v>
      </c>
    </row>
    <row r="34" spans="1:17" x14ac:dyDescent="0.55000000000000004">
      <c r="E34" s="1" t="s">
        <v>80</v>
      </c>
      <c r="F34" s="1">
        <v>1387</v>
      </c>
      <c r="G34" s="1">
        <v>1025</v>
      </c>
      <c r="H34" s="1">
        <v>478</v>
      </c>
      <c r="I34" s="1">
        <v>86</v>
      </c>
      <c r="J34" s="1">
        <v>56</v>
      </c>
      <c r="K34" s="1">
        <v>7</v>
      </c>
      <c r="L34" s="1">
        <v>10</v>
      </c>
      <c r="M34" s="1">
        <v>0</v>
      </c>
      <c r="N34" s="1">
        <v>0</v>
      </c>
      <c r="O34" s="1">
        <v>0</v>
      </c>
      <c r="P34" s="1">
        <v>0</v>
      </c>
    </row>
    <row r="35" spans="1:17" x14ac:dyDescent="0.55000000000000004">
      <c r="E35" s="1" t="s">
        <v>81</v>
      </c>
      <c r="F35" s="1">
        <v>614</v>
      </c>
      <c r="G35" s="1">
        <v>882</v>
      </c>
      <c r="H35" s="1">
        <v>491</v>
      </c>
      <c r="I35" s="1">
        <v>95</v>
      </c>
      <c r="J35" s="1">
        <v>62</v>
      </c>
      <c r="K35" s="1">
        <v>7</v>
      </c>
      <c r="L35" s="1">
        <v>11</v>
      </c>
      <c r="M35" s="1">
        <v>0</v>
      </c>
      <c r="N35" s="1">
        <v>0</v>
      </c>
      <c r="O35" s="1">
        <v>0</v>
      </c>
      <c r="P35" s="1">
        <v>0</v>
      </c>
    </row>
    <row r="36" spans="1:17" x14ac:dyDescent="0.55000000000000004">
      <c r="A36" s="4" t="s">
        <v>89</v>
      </c>
    </row>
    <row r="37" spans="1:17" x14ac:dyDescent="0.55000000000000004">
      <c r="E37" s="1" t="s">
        <v>80</v>
      </c>
      <c r="F37" s="1">
        <v>-257</v>
      </c>
    </row>
    <row r="38" spans="1:17" x14ac:dyDescent="0.55000000000000004">
      <c r="E38" s="1" t="s">
        <v>81</v>
      </c>
      <c r="F38" s="1">
        <v>368</v>
      </c>
      <c r="G38" s="1" t="s">
        <v>90</v>
      </c>
    </row>
    <row r="39" spans="1:17" x14ac:dyDescent="0.55000000000000004">
      <c r="A39" s="4" t="s">
        <v>103</v>
      </c>
    </row>
    <row r="40" spans="1:17" x14ac:dyDescent="0.55000000000000004">
      <c r="F40" s="1" t="s">
        <v>41</v>
      </c>
      <c r="G40" s="1" t="s">
        <v>27</v>
      </c>
      <c r="H40" s="1" t="s">
        <v>28</v>
      </c>
      <c r="I40" s="1" t="s">
        <v>29</v>
      </c>
      <c r="J40" s="1" t="s">
        <v>30</v>
      </c>
      <c r="K40" s="1" t="s">
        <v>39</v>
      </c>
      <c r="L40" s="1" t="s">
        <v>31</v>
      </c>
      <c r="M40" s="1" t="s">
        <v>32</v>
      </c>
      <c r="N40" s="1" t="s">
        <v>33</v>
      </c>
      <c r="O40" s="1" t="s">
        <v>43</v>
      </c>
      <c r="P40" s="1" t="s">
        <v>34</v>
      </c>
    </row>
    <row r="41" spans="1:17" x14ac:dyDescent="0.55000000000000004">
      <c r="E41" s="1" t="s">
        <v>99</v>
      </c>
      <c r="F41" s="1">
        <v>134.4</v>
      </c>
      <c r="G41" s="1">
        <v>93.1</v>
      </c>
      <c r="H41" s="1">
        <v>90</v>
      </c>
      <c r="I41" s="1">
        <v>80.7</v>
      </c>
      <c r="J41" s="1">
        <v>80.7</v>
      </c>
      <c r="K41" s="1">
        <v>74.8</v>
      </c>
      <c r="L41" s="1">
        <v>71.8</v>
      </c>
      <c r="M41" s="1">
        <v>68.8</v>
      </c>
      <c r="N41" s="1">
        <v>65.8</v>
      </c>
      <c r="O41" s="1">
        <v>0</v>
      </c>
      <c r="P41" s="1">
        <v>59.9</v>
      </c>
    </row>
    <row r="42" spans="1:17" x14ac:dyDescent="0.55000000000000004">
      <c r="F42" s="1">
        <v>506</v>
      </c>
      <c r="G42" s="1">
        <v>1141</v>
      </c>
      <c r="H42" s="1">
        <v>729</v>
      </c>
      <c r="I42" s="1">
        <v>87</v>
      </c>
      <c r="J42" s="1">
        <v>270</v>
      </c>
      <c r="K42" s="1">
        <v>32</v>
      </c>
      <c r="L42" s="1">
        <v>46</v>
      </c>
      <c r="M42" s="1">
        <v>0</v>
      </c>
      <c r="N42" s="1">
        <v>0</v>
      </c>
      <c r="O42" s="1">
        <v>0</v>
      </c>
      <c r="P42" s="1">
        <v>0</v>
      </c>
      <c r="Q42" s="1">
        <v>2811</v>
      </c>
    </row>
    <row r="43" spans="1:17" x14ac:dyDescent="0.55000000000000004">
      <c r="F43" s="1">
        <f>F41*F42</f>
        <v>68006.400000000009</v>
      </c>
      <c r="G43" s="1">
        <f t="shared" ref="G43:P43" si="0">G41*G42</f>
        <v>106227.09999999999</v>
      </c>
      <c r="H43" s="1">
        <f t="shared" si="0"/>
        <v>65610</v>
      </c>
      <c r="I43" s="1">
        <f t="shared" si="0"/>
        <v>7020.9000000000005</v>
      </c>
      <c r="J43" s="1">
        <f t="shared" si="0"/>
        <v>21789</v>
      </c>
      <c r="K43" s="1">
        <f t="shared" si="0"/>
        <v>2393.6</v>
      </c>
      <c r="L43" s="1">
        <f t="shared" si="0"/>
        <v>3302.7999999999997</v>
      </c>
      <c r="M43" s="1">
        <f t="shared" si="0"/>
        <v>0</v>
      </c>
      <c r="N43" s="1">
        <f t="shared" si="0"/>
        <v>0</v>
      </c>
      <c r="O43" s="1">
        <f t="shared" si="0"/>
        <v>0</v>
      </c>
      <c r="P43" s="1">
        <f t="shared" si="0"/>
        <v>0</v>
      </c>
      <c r="Q43" s="4">
        <f>SUM(F43:P43)</f>
        <v>274349.8</v>
      </c>
    </row>
    <row r="44" spans="1:17" x14ac:dyDescent="0.55000000000000004">
      <c r="E44" s="1" t="s">
        <v>100</v>
      </c>
      <c r="F44" s="1">
        <v>82</v>
      </c>
      <c r="G44" s="1">
        <v>75.400000000000006</v>
      </c>
      <c r="H44" s="1">
        <v>68.8</v>
      </c>
      <c r="I44" s="1">
        <v>62.8</v>
      </c>
      <c r="J44" s="1">
        <v>62.8</v>
      </c>
      <c r="K44" s="1">
        <v>58.2</v>
      </c>
      <c r="L44" s="1">
        <v>55.9</v>
      </c>
      <c r="M44" s="1">
        <v>53.5</v>
      </c>
      <c r="N44" s="1">
        <v>51.2</v>
      </c>
      <c r="O44" s="1">
        <v>48.9</v>
      </c>
      <c r="P44" s="1">
        <v>0</v>
      </c>
    </row>
    <row r="45" spans="1:17" x14ac:dyDescent="0.55000000000000004">
      <c r="F45" s="1">
        <v>224</v>
      </c>
      <c r="G45" s="1">
        <v>1015</v>
      </c>
      <c r="H45" s="1">
        <v>779</v>
      </c>
      <c r="I45" s="1">
        <v>95</v>
      </c>
      <c r="J45" s="1">
        <v>308</v>
      </c>
      <c r="K45" s="1">
        <v>37</v>
      </c>
      <c r="L45" s="1">
        <v>53</v>
      </c>
      <c r="M45" s="1">
        <v>0</v>
      </c>
      <c r="N45" s="1">
        <v>0</v>
      </c>
      <c r="O45" s="1">
        <v>0</v>
      </c>
      <c r="P45" s="1">
        <v>0</v>
      </c>
      <c r="Q45" s="1">
        <v>2511</v>
      </c>
    </row>
    <row r="46" spans="1:17" x14ac:dyDescent="0.55000000000000004">
      <c r="F46" s="1">
        <f>F44*F45</f>
        <v>18368</v>
      </c>
      <c r="G46" s="1">
        <f t="shared" ref="G46:P46" si="1">G44*G45</f>
        <v>76531</v>
      </c>
      <c r="H46" s="1">
        <f t="shared" si="1"/>
        <v>53595.199999999997</v>
      </c>
      <c r="I46" s="1">
        <f t="shared" si="1"/>
        <v>5966</v>
      </c>
      <c r="J46" s="1">
        <f t="shared" si="1"/>
        <v>19342.399999999998</v>
      </c>
      <c r="K46" s="1">
        <f t="shared" si="1"/>
        <v>2153.4</v>
      </c>
      <c r="L46" s="1">
        <f t="shared" si="1"/>
        <v>2962.7</v>
      </c>
      <c r="M46" s="1">
        <f t="shared" si="1"/>
        <v>0</v>
      </c>
      <c r="N46" s="1">
        <f t="shared" si="1"/>
        <v>0</v>
      </c>
      <c r="O46" s="1">
        <f t="shared" si="1"/>
        <v>0</v>
      </c>
      <c r="P46" s="1">
        <f t="shared" si="1"/>
        <v>0</v>
      </c>
      <c r="Q46" s="4">
        <f>SUM(F46:P46)</f>
        <v>178918.7</v>
      </c>
    </row>
    <row r="48" spans="1:17" x14ac:dyDescent="0.55000000000000004">
      <c r="A48" s="4" t="s">
        <v>75</v>
      </c>
    </row>
    <row r="49" spans="1:17" x14ac:dyDescent="0.55000000000000004">
      <c r="B49" s="1" t="s">
        <v>127</v>
      </c>
      <c r="F49" s="1" t="s">
        <v>41</v>
      </c>
      <c r="G49" s="1" t="s">
        <v>27</v>
      </c>
      <c r="H49" s="1" t="s">
        <v>28</v>
      </c>
      <c r="I49" s="1" t="s">
        <v>29</v>
      </c>
      <c r="J49" s="1" t="s">
        <v>30</v>
      </c>
      <c r="K49" s="1" t="s">
        <v>39</v>
      </c>
      <c r="L49" s="1" t="s">
        <v>31</v>
      </c>
      <c r="M49" s="1" t="s">
        <v>32</v>
      </c>
      <c r="N49" s="1" t="s">
        <v>33</v>
      </c>
      <c r="O49" s="1" t="s">
        <v>43</v>
      </c>
      <c r="P49" s="1" t="s">
        <v>34</v>
      </c>
    </row>
    <row r="50" spans="1:17" x14ac:dyDescent="0.55000000000000004">
      <c r="C50" s="1" t="s">
        <v>126</v>
      </c>
      <c r="F50" s="1">
        <v>1387</v>
      </c>
      <c r="G50" s="1">
        <v>1025</v>
      </c>
      <c r="H50" s="1">
        <v>478</v>
      </c>
      <c r="I50" s="1">
        <v>86</v>
      </c>
      <c r="J50" s="1">
        <v>56</v>
      </c>
      <c r="K50" s="1">
        <v>7</v>
      </c>
      <c r="L50" s="1">
        <v>10</v>
      </c>
      <c r="M50" s="1">
        <v>0</v>
      </c>
      <c r="N50" s="1">
        <v>0</v>
      </c>
      <c r="O50" s="1">
        <v>0</v>
      </c>
      <c r="P50" s="1">
        <v>0</v>
      </c>
      <c r="Q50" s="1">
        <v>3049</v>
      </c>
    </row>
    <row r="51" spans="1:17" x14ac:dyDescent="0.55000000000000004">
      <c r="C51" s="1" t="s">
        <v>125</v>
      </c>
      <c r="F51" s="1">
        <v>-50.188235294117653</v>
      </c>
      <c r="G51" s="1">
        <v>0</v>
      </c>
      <c r="H51" s="1">
        <v>14.052705882352946</v>
      </c>
      <c r="J51" s="1">
        <v>36.135529411764708</v>
      </c>
    </row>
    <row r="52" spans="1:17" x14ac:dyDescent="0.55000000000000004">
      <c r="C52" s="1" t="s">
        <v>128</v>
      </c>
      <c r="F52" s="1">
        <f>F50+F51</f>
        <v>1336.8117647058823</v>
      </c>
      <c r="G52" s="1">
        <f t="shared" ref="G52:P52" si="2">G50+G51</f>
        <v>1025</v>
      </c>
      <c r="H52" s="1">
        <f t="shared" si="2"/>
        <v>492.05270588235294</v>
      </c>
      <c r="I52" s="1">
        <f t="shared" si="2"/>
        <v>86</v>
      </c>
      <c r="J52" s="1">
        <f t="shared" si="2"/>
        <v>92.135529411764708</v>
      </c>
      <c r="K52" s="1">
        <f t="shared" si="2"/>
        <v>7</v>
      </c>
      <c r="L52" s="1">
        <f t="shared" si="2"/>
        <v>10</v>
      </c>
      <c r="M52" s="1">
        <f t="shared" si="2"/>
        <v>0</v>
      </c>
      <c r="N52" s="1">
        <f t="shared" si="2"/>
        <v>0</v>
      </c>
      <c r="O52" s="1">
        <f t="shared" si="2"/>
        <v>0</v>
      </c>
      <c r="P52" s="1">
        <f t="shared" si="2"/>
        <v>0</v>
      </c>
    </row>
    <row r="53" spans="1:17" x14ac:dyDescent="0.55000000000000004">
      <c r="B53" s="1" t="s">
        <v>129</v>
      </c>
      <c r="C53" s="1" t="s">
        <v>126</v>
      </c>
      <c r="F53" s="1">
        <v>614</v>
      </c>
      <c r="G53" s="1">
        <v>882</v>
      </c>
      <c r="H53" s="1">
        <v>491</v>
      </c>
      <c r="I53" s="1">
        <v>95</v>
      </c>
      <c r="J53" s="1">
        <v>62</v>
      </c>
      <c r="K53" s="1">
        <v>7</v>
      </c>
      <c r="L53" s="1">
        <v>11</v>
      </c>
      <c r="M53" s="1">
        <v>0</v>
      </c>
      <c r="N53" s="1">
        <v>0</v>
      </c>
      <c r="O53" s="1">
        <v>0</v>
      </c>
      <c r="P53" s="1">
        <v>0</v>
      </c>
      <c r="Q53" s="1">
        <f>SUM(F53:P53)</f>
        <v>2162</v>
      </c>
    </row>
    <row r="54" spans="1:17" x14ac:dyDescent="0.55000000000000004">
      <c r="C54" s="1" t="s">
        <v>125</v>
      </c>
      <c r="F54" s="1">
        <v>0</v>
      </c>
      <c r="G54" s="1">
        <v>-7.4879999999999995</v>
      </c>
      <c r="H54" s="1">
        <v>7.4879999999999995</v>
      </c>
      <c r="J54" s="1">
        <v>0</v>
      </c>
    </row>
    <row r="55" spans="1:17" x14ac:dyDescent="0.55000000000000004">
      <c r="C55" s="1" t="s">
        <v>128</v>
      </c>
      <c r="F55" s="1">
        <f>F53+F54</f>
        <v>614</v>
      </c>
      <c r="G55" s="1">
        <f t="shared" ref="G55:P55" si="3">G53+G54</f>
        <v>874.51199999999994</v>
      </c>
      <c r="H55" s="1">
        <f t="shared" si="3"/>
        <v>498.488</v>
      </c>
      <c r="I55" s="1">
        <f t="shared" si="3"/>
        <v>95</v>
      </c>
      <c r="J55" s="1">
        <f t="shared" si="3"/>
        <v>62</v>
      </c>
      <c r="K55" s="1">
        <f t="shared" si="3"/>
        <v>7</v>
      </c>
      <c r="L55" s="1">
        <f t="shared" si="3"/>
        <v>11</v>
      </c>
      <c r="M55" s="1">
        <f t="shared" si="3"/>
        <v>0</v>
      </c>
      <c r="N55" s="1">
        <f t="shared" si="3"/>
        <v>0</v>
      </c>
      <c r="O55" s="1">
        <f t="shared" si="3"/>
        <v>0</v>
      </c>
      <c r="P55" s="1">
        <f t="shared" si="3"/>
        <v>0</v>
      </c>
      <c r="Q55" s="1">
        <f>SUM(F55:P55)</f>
        <v>2162</v>
      </c>
    </row>
    <row r="56" spans="1:17" x14ac:dyDescent="0.55000000000000004">
      <c r="E56" s="4"/>
      <c r="F56" s="4"/>
      <c r="G56" s="4"/>
      <c r="H56" s="4"/>
      <c r="I56" s="4"/>
    </row>
    <row r="57" spans="1:17" x14ac:dyDescent="0.55000000000000004">
      <c r="A57" s="4" t="s">
        <v>133</v>
      </c>
    </row>
    <row r="58" spans="1:17" x14ac:dyDescent="0.55000000000000004">
      <c r="E58" s="1" t="s">
        <v>127</v>
      </c>
      <c r="F58" s="1">
        <f>F30*F50</f>
        <v>186412.80000000002</v>
      </c>
      <c r="G58" s="1">
        <f t="shared" ref="G58:P58" si="4">G30*G50</f>
        <v>95427.5</v>
      </c>
      <c r="H58" s="1">
        <f t="shared" si="4"/>
        <v>43020</v>
      </c>
      <c r="I58" s="1">
        <f t="shared" si="4"/>
        <v>6940.2</v>
      </c>
      <c r="J58" s="1">
        <f t="shared" si="4"/>
        <v>4519.2</v>
      </c>
      <c r="K58" s="1">
        <f t="shared" si="4"/>
        <v>523.6</v>
      </c>
      <c r="L58" s="1">
        <f t="shared" si="4"/>
        <v>718</v>
      </c>
      <c r="M58" s="1">
        <f t="shared" si="4"/>
        <v>0</v>
      </c>
      <c r="N58" s="1">
        <f t="shared" si="4"/>
        <v>0</v>
      </c>
      <c r="O58" s="1">
        <f t="shared" si="4"/>
        <v>0</v>
      </c>
      <c r="P58" s="1">
        <f t="shared" si="4"/>
        <v>0</v>
      </c>
      <c r="Q58" s="4">
        <f>SUM(F58:P58)</f>
        <v>337561.30000000005</v>
      </c>
    </row>
    <row r="59" spans="1:17" x14ac:dyDescent="0.55000000000000004">
      <c r="E59" s="1" t="s">
        <v>129</v>
      </c>
      <c r="F59" s="1">
        <f>F31*F53</f>
        <v>50348</v>
      </c>
      <c r="G59" s="1">
        <f t="shared" ref="G59:P59" si="5">G31*G53</f>
        <v>66502.8</v>
      </c>
      <c r="H59" s="1">
        <f t="shared" si="5"/>
        <v>33780.799999999996</v>
      </c>
      <c r="I59" s="1">
        <f t="shared" si="5"/>
        <v>5966</v>
      </c>
      <c r="J59" s="1">
        <f t="shared" si="5"/>
        <v>3893.6</v>
      </c>
      <c r="K59" s="1">
        <f t="shared" si="5"/>
        <v>407.40000000000003</v>
      </c>
      <c r="L59" s="1">
        <f t="shared" si="5"/>
        <v>614.9</v>
      </c>
      <c r="M59" s="1">
        <f t="shared" si="5"/>
        <v>0</v>
      </c>
      <c r="N59" s="1">
        <f t="shared" si="5"/>
        <v>0</v>
      </c>
      <c r="O59" s="1">
        <f t="shared" si="5"/>
        <v>0</v>
      </c>
      <c r="P59" s="1">
        <f t="shared" si="5"/>
        <v>0</v>
      </c>
      <c r="Q59" s="4">
        <f>SUM(F59:P59)</f>
        <v>161513.5</v>
      </c>
    </row>
    <row r="61" spans="1:17" x14ac:dyDescent="0.55000000000000004">
      <c r="A61" s="4" t="s">
        <v>135</v>
      </c>
    </row>
    <row r="62" spans="1:17" x14ac:dyDescent="0.55000000000000004">
      <c r="F62" s="1" t="s">
        <v>41</v>
      </c>
      <c r="G62" s="1" t="s">
        <v>27</v>
      </c>
      <c r="H62" s="1" t="s">
        <v>28</v>
      </c>
      <c r="I62" s="1" t="s">
        <v>29</v>
      </c>
      <c r="J62" s="1" t="s">
        <v>30</v>
      </c>
      <c r="K62" s="1" t="s">
        <v>39</v>
      </c>
      <c r="L62" s="1" t="s">
        <v>31</v>
      </c>
      <c r="M62" s="1" t="s">
        <v>32</v>
      </c>
      <c r="N62" s="1" t="s">
        <v>33</v>
      </c>
      <c r="O62" s="1" t="s">
        <v>43</v>
      </c>
      <c r="P62" s="1" t="s">
        <v>34</v>
      </c>
    </row>
    <row r="63" spans="1:17" x14ac:dyDescent="0.55000000000000004">
      <c r="B63" s="4" t="s">
        <v>138</v>
      </c>
      <c r="D63" s="1" t="s">
        <v>136</v>
      </c>
      <c r="F63" s="1">
        <f>F50</f>
        <v>1387</v>
      </c>
      <c r="G63" s="1">
        <f t="shared" ref="G63:P63" si="6">G50</f>
        <v>1025</v>
      </c>
      <c r="H63" s="1">
        <f t="shared" si="6"/>
        <v>478</v>
      </c>
      <c r="I63" s="1">
        <f t="shared" si="6"/>
        <v>86</v>
      </c>
      <c r="J63" s="1">
        <f t="shared" si="6"/>
        <v>56</v>
      </c>
      <c r="K63" s="1">
        <f t="shared" si="6"/>
        <v>7</v>
      </c>
      <c r="L63" s="1">
        <f t="shared" si="6"/>
        <v>10</v>
      </c>
      <c r="M63" s="1">
        <f t="shared" si="6"/>
        <v>0</v>
      </c>
      <c r="N63" s="1">
        <f t="shared" si="6"/>
        <v>0</v>
      </c>
      <c r="O63" s="1">
        <f t="shared" si="6"/>
        <v>0</v>
      </c>
      <c r="P63" s="1">
        <f t="shared" si="6"/>
        <v>0</v>
      </c>
    </row>
    <row r="64" spans="1:17" x14ac:dyDescent="0.55000000000000004">
      <c r="D64" s="1" t="s">
        <v>137</v>
      </c>
      <c r="F64" s="1">
        <v>363</v>
      </c>
      <c r="G64" s="1">
        <v>1031</v>
      </c>
      <c r="H64" s="1">
        <v>515</v>
      </c>
      <c r="I64" s="1">
        <v>86</v>
      </c>
      <c r="J64" s="1">
        <v>246</v>
      </c>
      <c r="K64" s="1">
        <v>53</v>
      </c>
      <c r="L64" s="1">
        <v>202</v>
      </c>
      <c r="M64" s="1">
        <v>157</v>
      </c>
      <c r="N64" s="1">
        <v>36</v>
      </c>
      <c r="O64" s="1">
        <v>0</v>
      </c>
      <c r="P64" s="1">
        <v>103</v>
      </c>
      <c r="Q64" s="1">
        <f>SUM(F64:P64)</f>
        <v>2792</v>
      </c>
    </row>
    <row r="65" spans="2:17" x14ac:dyDescent="0.55000000000000004">
      <c r="D65" s="1" t="s">
        <v>143</v>
      </c>
      <c r="F65" s="1">
        <f>F64-F63</f>
        <v>-1024</v>
      </c>
      <c r="G65" s="1">
        <f t="shared" ref="G65:P65" si="7">G64-G63</f>
        <v>6</v>
      </c>
      <c r="H65" s="1">
        <f t="shared" si="7"/>
        <v>37</v>
      </c>
      <c r="I65" s="1">
        <f t="shared" si="7"/>
        <v>0</v>
      </c>
      <c r="J65" s="1">
        <f t="shared" si="7"/>
        <v>190</v>
      </c>
      <c r="K65" s="1">
        <f t="shared" si="7"/>
        <v>46</v>
      </c>
      <c r="L65" s="1">
        <f t="shared" si="7"/>
        <v>192</v>
      </c>
      <c r="M65" s="1">
        <f t="shared" si="7"/>
        <v>157</v>
      </c>
      <c r="N65" s="1">
        <f t="shared" si="7"/>
        <v>36</v>
      </c>
      <c r="O65" s="1">
        <f t="shared" si="7"/>
        <v>0</v>
      </c>
      <c r="P65" s="1">
        <f t="shared" si="7"/>
        <v>103</v>
      </c>
    </row>
    <row r="66" spans="2:17" x14ac:dyDescent="0.55000000000000004">
      <c r="D66" s="1" t="s">
        <v>141</v>
      </c>
      <c r="F66" s="1">
        <f>F51</f>
        <v>-50.188235294117653</v>
      </c>
      <c r="G66" s="1">
        <f t="shared" ref="G66:P66" si="8">G51</f>
        <v>0</v>
      </c>
      <c r="H66" s="1">
        <f t="shared" si="8"/>
        <v>14.052705882352946</v>
      </c>
      <c r="I66" s="1">
        <f t="shared" si="8"/>
        <v>0</v>
      </c>
      <c r="J66" s="1">
        <f t="shared" si="8"/>
        <v>36.135529411764708</v>
      </c>
      <c r="K66" s="1">
        <f t="shared" si="8"/>
        <v>0</v>
      </c>
      <c r="L66" s="1">
        <f t="shared" si="8"/>
        <v>0</v>
      </c>
      <c r="M66" s="1">
        <f t="shared" si="8"/>
        <v>0</v>
      </c>
      <c r="N66" s="1">
        <f t="shared" si="8"/>
        <v>0</v>
      </c>
      <c r="O66" s="1">
        <f t="shared" si="8"/>
        <v>0</v>
      </c>
      <c r="P66" s="1">
        <f t="shared" si="8"/>
        <v>0</v>
      </c>
    </row>
    <row r="67" spans="2:17" x14ac:dyDescent="0.55000000000000004">
      <c r="D67" s="1" t="s">
        <v>142</v>
      </c>
      <c r="F67" s="1">
        <v>-78.419117647058826</v>
      </c>
      <c r="G67" s="1">
        <v>0</v>
      </c>
      <c r="H67" s="1">
        <v>21.957352941176474</v>
      </c>
      <c r="I67" s="1">
        <v>0</v>
      </c>
      <c r="J67" s="1">
        <v>56.461764705882352</v>
      </c>
      <c r="K67" s="1">
        <v>0</v>
      </c>
      <c r="L67" s="1">
        <v>0</v>
      </c>
      <c r="M67" s="1">
        <v>0</v>
      </c>
      <c r="N67" s="1">
        <v>0</v>
      </c>
      <c r="O67" s="1">
        <v>0</v>
      </c>
      <c r="P67" s="1">
        <v>0</v>
      </c>
    </row>
    <row r="68" spans="2:17" x14ac:dyDescent="0.55000000000000004">
      <c r="D68" s="1" t="s">
        <v>140</v>
      </c>
      <c r="F68" s="1">
        <f>SUM(F66:F67)</f>
        <v>-128.60735294117649</v>
      </c>
      <c r="G68" s="1">
        <f t="shared" ref="G68:P68" si="9">SUM(G66:G67)</f>
        <v>0</v>
      </c>
      <c r="H68" s="1">
        <f t="shared" si="9"/>
        <v>36.01005882352942</v>
      </c>
      <c r="I68" s="1">
        <f t="shared" si="9"/>
        <v>0</v>
      </c>
      <c r="J68" s="1">
        <f t="shared" si="9"/>
        <v>92.597294117647067</v>
      </c>
      <c r="K68" s="1">
        <f t="shared" si="9"/>
        <v>0</v>
      </c>
      <c r="L68" s="1">
        <f t="shared" si="9"/>
        <v>0</v>
      </c>
      <c r="M68" s="1">
        <f t="shared" si="9"/>
        <v>0</v>
      </c>
      <c r="N68" s="1">
        <f t="shared" si="9"/>
        <v>0</v>
      </c>
      <c r="O68" s="1">
        <f t="shared" si="9"/>
        <v>0</v>
      </c>
      <c r="P68" s="1">
        <f t="shared" si="9"/>
        <v>0</v>
      </c>
    </row>
    <row r="69" spans="2:17" x14ac:dyDescent="0.55000000000000004">
      <c r="D69" s="1" t="s">
        <v>144</v>
      </c>
      <c r="F69" s="1">
        <f>F65-F68</f>
        <v>-895.39264705882351</v>
      </c>
      <c r="G69" s="1">
        <f t="shared" ref="G69:P69" si="10">G65-G68</f>
        <v>6</v>
      </c>
      <c r="H69" s="1">
        <f t="shared" si="10"/>
        <v>0.98994117647058033</v>
      </c>
      <c r="I69" s="1">
        <f t="shared" si="10"/>
        <v>0</v>
      </c>
      <c r="J69" s="1">
        <f t="shared" si="10"/>
        <v>97.402705882352933</v>
      </c>
      <c r="K69" s="1">
        <f t="shared" si="10"/>
        <v>46</v>
      </c>
      <c r="L69" s="1">
        <f t="shared" si="10"/>
        <v>192</v>
      </c>
      <c r="M69" s="1">
        <f t="shared" si="10"/>
        <v>157</v>
      </c>
      <c r="N69" s="1">
        <f t="shared" si="10"/>
        <v>36</v>
      </c>
      <c r="O69" s="1">
        <f t="shared" si="10"/>
        <v>0</v>
      </c>
      <c r="P69" s="1">
        <f t="shared" si="10"/>
        <v>103</v>
      </c>
    </row>
    <row r="70" spans="2:17" x14ac:dyDescent="0.55000000000000004">
      <c r="D70" s="1" t="s">
        <v>139</v>
      </c>
      <c r="F70" s="1">
        <v>0</v>
      </c>
      <c r="G70" s="1">
        <v>0</v>
      </c>
      <c r="H70" s="1">
        <v>0.87906607436025475</v>
      </c>
      <c r="I70" s="1">
        <v>0</v>
      </c>
      <c r="J70" s="1">
        <v>20.791555772777691</v>
      </c>
      <c r="K70" s="1">
        <v>16.873568735535045</v>
      </c>
      <c r="L70" s="1">
        <v>58.683635424120361</v>
      </c>
      <c r="M70" s="1">
        <v>127.18861229075333</v>
      </c>
      <c r="N70" s="1">
        <v>28.193971770656258</v>
      </c>
      <c r="O70" s="1">
        <v>0</v>
      </c>
      <c r="P70" s="1">
        <v>81.897664274372545</v>
      </c>
    </row>
    <row r="71" spans="2:17" x14ac:dyDescent="0.55000000000000004">
      <c r="D71" s="4" t="s">
        <v>145</v>
      </c>
      <c r="E71" s="4"/>
      <c r="F71" s="4">
        <f>F69-F70</f>
        <v>-895.39264705882351</v>
      </c>
      <c r="G71" s="4">
        <f t="shared" ref="G71:P71" si="11">G69-G70</f>
        <v>6</v>
      </c>
      <c r="H71" s="4">
        <f t="shared" si="11"/>
        <v>0.11087510211032559</v>
      </c>
      <c r="I71" s="4">
        <f t="shared" si="11"/>
        <v>0</v>
      </c>
      <c r="J71" s="4">
        <f t="shared" si="11"/>
        <v>76.611150109575249</v>
      </c>
      <c r="K71" s="4">
        <f t="shared" si="11"/>
        <v>29.126431264464955</v>
      </c>
      <c r="L71" s="4">
        <f t="shared" si="11"/>
        <v>133.31636457587965</v>
      </c>
      <c r="M71" s="4">
        <f t="shared" si="11"/>
        <v>29.811387709246674</v>
      </c>
      <c r="N71" s="4">
        <f t="shared" si="11"/>
        <v>7.8060282293437417</v>
      </c>
      <c r="O71" s="4">
        <f t="shared" si="11"/>
        <v>0</v>
      </c>
      <c r="P71" s="4">
        <f t="shared" si="11"/>
        <v>21.102335725627455</v>
      </c>
    </row>
    <row r="72" spans="2:17" x14ac:dyDescent="0.55000000000000004">
      <c r="B72" s="4" t="s">
        <v>146</v>
      </c>
      <c r="D72" s="1" t="s">
        <v>136</v>
      </c>
      <c r="F72" s="1">
        <f>F35</f>
        <v>614</v>
      </c>
      <c r="G72" s="1">
        <f t="shared" ref="G72:P72" si="12">G35</f>
        <v>882</v>
      </c>
      <c r="H72" s="1">
        <f t="shared" si="12"/>
        <v>491</v>
      </c>
      <c r="I72" s="1">
        <f t="shared" si="12"/>
        <v>95</v>
      </c>
      <c r="J72" s="1">
        <f t="shared" si="12"/>
        <v>62</v>
      </c>
      <c r="K72" s="1">
        <f t="shared" si="12"/>
        <v>7</v>
      </c>
      <c r="L72" s="1">
        <f t="shared" si="12"/>
        <v>11</v>
      </c>
      <c r="M72" s="1">
        <f t="shared" si="12"/>
        <v>0</v>
      </c>
      <c r="N72" s="1">
        <f t="shared" si="12"/>
        <v>0</v>
      </c>
      <c r="O72" s="1">
        <f t="shared" si="12"/>
        <v>0</v>
      </c>
      <c r="P72" s="1">
        <f t="shared" si="12"/>
        <v>0</v>
      </c>
    </row>
    <row r="73" spans="2:17" x14ac:dyDescent="0.55000000000000004">
      <c r="D73" s="1" t="s">
        <v>137</v>
      </c>
      <c r="F73" s="1">
        <v>166</v>
      </c>
      <c r="G73" s="1">
        <v>863</v>
      </c>
      <c r="H73" s="1">
        <v>629</v>
      </c>
      <c r="I73" s="1">
        <v>95</v>
      </c>
      <c r="J73" s="1">
        <v>256</v>
      </c>
      <c r="K73" s="1">
        <v>87</v>
      </c>
      <c r="L73" s="1">
        <v>172</v>
      </c>
      <c r="M73" s="1">
        <v>156</v>
      </c>
      <c r="N73" s="1">
        <v>53</v>
      </c>
      <c r="O73" s="1">
        <v>53</v>
      </c>
      <c r="P73" s="1">
        <v>0</v>
      </c>
      <c r="Q73" s="1">
        <f>SUM(F73:P73)</f>
        <v>2530</v>
      </c>
    </row>
    <row r="74" spans="2:17" x14ac:dyDescent="0.55000000000000004">
      <c r="D74" s="1" t="s">
        <v>143</v>
      </c>
      <c r="F74" s="1">
        <f t="shared" ref="F74:P74" si="13">F73-F72</f>
        <v>-448</v>
      </c>
      <c r="G74" s="1">
        <f t="shared" si="13"/>
        <v>-19</v>
      </c>
      <c r="H74" s="1">
        <f t="shared" si="13"/>
        <v>138</v>
      </c>
      <c r="I74" s="1">
        <f t="shared" si="13"/>
        <v>0</v>
      </c>
      <c r="J74" s="1">
        <f t="shared" si="13"/>
        <v>194</v>
      </c>
      <c r="K74" s="1">
        <f t="shared" si="13"/>
        <v>80</v>
      </c>
      <c r="L74" s="1">
        <f t="shared" si="13"/>
        <v>161</v>
      </c>
      <c r="M74" s="1">
        <f t="shared" si="13"/>
        <v>156</v>
      </c>
      <c r="N74" s="1">
        <f t="shared" si="13"/>
        <v>53</v>
      </c>
      <c r="O74" s="1">
        <f t="shared" si="13"/>
        <v>53</v>
      </c>
      <c r="P74" s="1">
        <f t="shared" si="13"/>
        <v>0</v>
      </c>
    </row>
    <row r="75" spans="2:17" x14ac:dyDescent="0.55000000000000004">
      <c r="D75" s="1" t="s">
        <v>141</v>
      </c>
      <c r="F75" s="1">
        <f>F54</f>
        <v>0</v>
      </c>
      <c r="G75" s="1">
        <f t="shared" ref="G75:P75" si="14">G54</f>
        <v>-7.4879999999999995</v>
      </c>
      <c r="H75" s="1">
        <f t="shared" si="14"/>
        <v>7.4879999999999995</v>
      </c>
      <c r="I75" s="1">
        <f t="shared" si="14"/>
        <v>0</v>
      </c>
      <c r="J75" s="1">
        <f t="shared" si="14"/>
        <v>0</v>
      </c>
      <c r="K75" s="1">
        <f t="shared" si="14"/>
        <v>0</v>
      </c>
      <c r="L75" s="1">
        <f t="shared" si="14"/>
        <v>0</v>
      </c>
      <c r="M75" s="1">
        <f t="shared" si="14"/>
        <v>0</v>
      </c>
      <c r="N75" s="1">
        <f t="shared" si="14"/>
        <v>0</v>
      </c>
      <c r="O75" s="1">
        <f t="shared" si="14"/>
        <v>0</v>
      </c>
      <c r="P75" s="1">
        <f t="shared" si="14"/>
        <v>0</v>
      </c>
    </row>
    <row r="76" spans="2:17" x14ac:dyDescent="0.55000000000000004">
      <c r="D76" s="1" t="s">
        <v>142</v>
      </c>
      <c r="F76" s="1">
        <v>0</v>
      </c>
      <c r="G76" s="1">
        <v>-11.511999999999967</v>
      </c>
      <c r="H76" s="1">
        <v>11.323999999999922</v>
      </c>
      <c r="J76" s="1">
        <v>0.18800000000004449</v>
      </c>
    </row>
    <row r="77" spans="2:17" x14ac:dyDescent="0.55000000000000004">
      <c r="D77" s="1" t="s">
        <v>140</v>
      </c>
      <c r="F77" s="1">
        <f t="shared" ref="F77:P77" si="15">SUM(F75:F76)</f>
        <v>0</v>
      </c>
      <c r="G77" s="1">
        <f t="shared" si="15"/>
        <v>-18.999999999999964</v>
      </c>
      <c r="H77" s="1">
        <f t="shared" si="15"/>
        <v>18.811999999999919</v>
      </c>
      <c r="I77" s="1">
        <f t="shared" si="15"/>
        <v>0</v>
      </c>
      <c r="J77" s="1">
        <f t="shared" si="15"/>
        <v>0.18800000000004449</v>
      </c>
      <c r="K77" s="1">
        <f t="shared" si="15"/>
        <v>0</v>
      </c>
      <c r="L77" s="1">
        <f t="shared" si="15"/>
        <v>0</v>
      </c>
      <c r="M77" s="1">
        <f t="shared" si="15"/>
        <v>0</v>
      </c>
      <c r="N77" s="1">
        <f t="shared" si="15"/>
        <v>0</v>
      </c>
      <c r="O77" s="1">
        <f t="shared" si="15"/>
        <v>0</v>
      </c>
      <c r="P77" s="1">
        <f t="shared" si="15"/>
        <v>0</v>
      </c>
    </row>
    <row r="78" spans="2:17" x14ac:dyDescent="0.55000000000000004">
      <c r="D78" s="1" t="s">
        <v>144</v>
      </c>
      <c r="F78" s="1">
        <f>F74-F77</f>
        <v>-448</v>
      </c>
      <c r="G78" s="1">
        <v>0</v>
      </c>
      <c r="H78" s="1">
        <f t="shared" ref="H78:P78" si="16">H74-H77</f>
        <v>119.18800000000007</v>
      </c>
      <c r="I78" s="1">
        <f t="shared" si="16"/>
        <v>0</v>
      </c>
      <c r="J78" s="1">
        <f t="shared" si="16"/>
        <v>193.81199999999995</v>
      </c>
      <c r="K78" s="1">
        <f t="shared" si="16"/>
        <v>80</v>
      </c>
      <c r="L78" s="1">
        <f t="shared" si="16"/>
        <v>161</v>
      </c>
      <c r="M78" s="1">
        <f t="shared" si="16"/>
        <v>156</v>
      </c>
      <c r="N78" s="1">
        <f t="shared" si="16"/>
        <v>53</v>
      </c>
      <c r="O78" s="1">
        <f t="shared" si="16"/>
        <v>53</v>
      </c>
      <c r="P78" s="1">
        <f t="shared" si="16"/>
        <v>0</v>
      </c>
    </row>
    <row r="79" spans="2:17" x14ac:dyDescent="0.55000000000000004">
      <c r="D79" s="1" t="s">
        <v>139</v>
      </c>
      <c r="F79" s="1">
        <v>0</v>
      </c>
      <c r="G79" s="1">
        <v>0</v>
      </c>
      <c r="H79" s="1">
        <v>15.334583896696358</v>
      </c>
      <c r="I79" s="1">
        <v>0</v>
      </c>
      <c r="J79" s="1">
        <v>41.266641121817713</v>
      </c>
      <c r="K79" s="1">
        <v>17.952413081764803</v>
      </c>
      <c r="L79" s="1">
        <v>74.664758273443312</v>
      </c>
      <c r="M79" s="1">
        <v>142.86236512521114</v>
      </c>
      <c r="N79" s="1">
        <v>48.446582598609638</v>
      </c>
      <c r="O79" s="1">
        <v>48.391022512027398</v>
      </c>
      <c r="P79" s="1">
        <v>0</v>
      </c>
    </row>
    <row r="80" spans="2:17" x14ac:dyDescent="0.55000000000000004">
      <c r="D80" s="4" t="s">
        <v>145</v>
      </c>
      <c r="E80" s="4"/>
      <c r="F80" s="4">
        <f>F78-F79</f>
        <v>-448</v>
      </c>
      <c r="G80" s="4">
        <f t="shared" ref="G80:P80" si="17">G78-G79</f>
        <v>0</v>
      </c>
      <c r="H80" s="4">
        <f t="shared" si="17"/>
        <v>103.85341610330372</v>
      </c>
      <c r="I80" s="4">
        <f t="shared" si="17"/>
        <v>0</v>
      </c>
      <c r="J80" s="4">
        <f t="shared" si="17"/>
        <v>152.54535887818224</v>
      </c>
      <c r="K80" s="4">
        <f t="shared" si="17"/>
        <v>62.047586918235197</v>
      </c>
      <c r="L80" s="4">
        <f t="shared" si="17"/>
        <v>86.335241726556688</v>
      </c>
      <c r="M80" s="4">
        <f t="shared" si="17"/>
        <v>13.137634874788858</v>
      </c>
      <c r="N80" s="4">
        <f t="shared" si="17"/>
        <v>4.5534174013903623</v>
      </c>
      <c r="O80" s="4">
        <f t="shared" si="17"/>
        <v>4.6089774879726022</v>
      </c>
      <c r="P80" s="4">
        <f t="shared" si="17"/>
        <v>0</v>
      </c>
    </row>
    <row r="82" spans="1:23" x14ac:dyDescent="0.55000000000000004">
      <c r="F82" s="1">
        <v>-895.39264705882351</v>
      </c>
      <c r="G82" s="1">
        <v>6</v>
      </c>
      <c r="H82" s="1">
        <v>0.11087510211032559</v>
      </c>
      <c r="I82" s="1">
        <v>0</v>
      </c>
      <c r="J82" s="1">
        <v>76.611150109575249</v>
      </c>
      <c r="K82" s="1">
        <v>29.126431264464955</v>
      </c>
      <c r="L82" s="1">
        <v>133.31636457587965</v>
      </c>
      <c r="M82" s="1">
        <v>29.811387709246674</v>
      </c>
      <c r="N82" s="1">
        <v>7.8060282293437417</v>
      </c>
      <c r="O82" s="1">
        <v>0</v>
      </c>
      <c r="P82" s="1">
        <v>21.102335725627455</v>
      </c>
    </row>
    <row r="84" spans="1:23" x14ac:dyDescent="0.55000000000000004">
      <c r="A84" s="4" t="s">
        <v>271</v>
      </c>
    </row>
    <row r="85" spans="1:23" x14ac:dyDescent="0.55000000000000004">
      <c r="A85" s="4"/>
      <c r="B85" s="1" t="s">
        <v>272</v>
      </c>
      <c r="D85" s="9">
        <f>戸建ての計算!E46</f>
        <v>0.7</v>
      </c>
    </row>
    <row r="86" spans="1:23" x14ac:dyDescent="0.55000000000000004">
      <c r="A86" s="4"/>
      <c r="D86" s="14"/>
      <c r="P86" s="1">
        <v>14417</v>
      </c>
      <c r="Q86" s="1">
        <v>4773</v>
      </c>
    </row>
    <row r="87" spans="1:23" x14ac:dyDescent="0.55000000000000004">
      <c r="A87" s="4"/>
      <c r="B87" s="4" t="s">
        <v>573</v>
      </c>
      <c r="D87" s="14"/>
    </row>
    <row r="88" spans="1:23" x14ac:dyDescent="0.55000000000000004">
      <c r="E88" s="1" t="s">
        <v>270</v>
      </c>
      <c r="F88" s="1" t="s">
        <v>237</v>
      </c>
      <c r="G88" s="28" t="s">
        <v>279</v>
      </c>
      <c r="H88" s="1" t="s">
        <v>273</v>
      </c>
      <c r="I88" s="1" t="s">
        <v>275</v>
      </c>
      <c r="J88" s="1" t="s">
        <v>169</v>
      </c>
      <c r="K88" s="1" t="s">
        <v>167</v>
      </c>
      <c r="L88" s="1" t="s">
        <v>168</v>
      </c>
      <c r="M88" s="1" t="s">
        <v>170</v>
      </c>
      <c r="O88" s="1" t="s">
        <v>171</v>
      </c>
      <c r="Q88" s="1" t="s">
        <v>234</v>
      </c>
      <c r="R88" s="1" t="s">
        <v>26</v>
      </c>
      <c r="T88" s="1" t="s">
        <v>303</v>
      </c>
      <c r="W88" s="1" t="s">
        <v>600</v>
      </c>
    </row>
    <row r="89" spans="1:23" x14ac:dyDescent="0.55000000000000004">
      <c r="E89" s="1" t="s">
        <v>601</v>
      </c>
      <c r="F89" s="1" t="s">
        <v>231</v>
      </c>
      <c r="G89" s="1" t="s">
        <v>280</v>
      </c>
      <c r="H89" s="1" t="s">
        <v>274</v>
      </c>
      <c r="I89" s="1" t="s">
        <v>276</v>
      </c>
      <c r="J89" s="1">
        <v>924</v>
      </c>
      <c r="K89" s="1">
        <v>13935</v>
      </c>
      <c r="L89" s="1">
        <v>6036</v>
      </c>
      <c r="M89" s="1">
        <v>20417</v>
      </c>
      <c r="N89" s="1">
        <v>14417</v>
      </c>
      <c r="O89" s="1">
        <v>6135</v>
      </c>
      <c r="P89" s="1">
        <v>4773</v>
      </c>
      <c r="Q89" s="1">
        <v>21241</v>
      </c>
      <c r="R89" s="1">
        <f>J89+K89+L89+M89+O89+Q89</f>
        <v>68688</v>
      </c>
      <c r="S89" s="1">
        <f>J89+K89+L89+N89+P89+Q89</f>
        <v>61326</v>
      </c>
      <c r="T89" s="1" t="str">
        <f t="shared" ref="T89:T118" si="18">E89&amp;F89&amp;G89&amp;H89&amp;I89</f>
        <v>省エネ基準居室間欠なし第3種標準</v>
      </c>
      <c r="U89" s="1">
        <v>68.688000000000002</v>
      </c>
      <c r="V89" s="1">
        <f>S89/1000</f>
        <v>61.326000000000001</v>
      </c>
      <c r="W89" s="1">
        <v>0.87</v>
      </c>
    </row>
    <row r="90" spans="1:23" x14ac:dyDescent="0.55000000000000004">
      <c r="E90" s="1" t="s">
        <v>601</v>
      </c>
      <c r="F90" s="1" t="s">
        <v>231</v>
      </c>
      <c r="G90" s="1" t="s">
        <v>280</v>
      </c>
      <c r="H90" s="1" t="s">
        <v>274</v>
      </c>
      <c r="I90" s="22" t="s">
        <v>278</v>
      </c>
      <c r="J90" s="1">
        <v>924</v>
      </c>
      <c r="K90" s="1">
        <v>13935</v>
      </c>
      <c r="L90" s="1">
        <v>6036</v>
      </c>
      <c r="M90" s="1">
        <v>11346</v>
      </c>
      <c r="N90" s="1">
        <f>M90</f>
        <v>11346</v>
      </c>
      <c r="O90" s="1">
        <v>6135</v>
      </c>
      <c r="P90" s="1">
        <f>P89</f>
        <v>4773</v>
      </c>
      <c r="Q90" s="1">
        <v>21241</v>
      </c>
      <c r="R90" s="1">
        <f t="shared" ref="R90:R138" si="19">J90+K90+L90+M90+O90+Q90</f>
        <v>59617</v>
      </c>
      <c r="S90" s="1">
        <f t="shared" ref="S90:S138" si="20">J90+K90+L90+N90+P90+Q90</f>
        <v>58255</v>
      </c>
      <c r="T90" s="1" t="str">
        <f t="shared" si="18"/>
        <v>省エネ基準居室間欠なし第3種ハイブリッド</v>
      </c>
      <c r="U90" s="1">
        <v>59.616999999999997</v>
      </c>
      <c r="V90" s="1">
        <f t="shared" ref="V90:V128" si="21">S90/1000</f>
        <v>58.255000000000003</v>
      </c>
      <c r="W90" s="1">
        <v>0.87</v>
      </c>
    </row>
    <row r="91" spans="1:23" x14ac:dyDescent="0.55000000000000004">
      <c r="E91" s="1" t="s">
        <v>601</v>
      </c>
      <c r="F91" s="1" t="s">
        <v>231</v>
      </c>
      <c r="G91" s="1" t="s">
        <v>280</v>
      </c>
      <c r="H91" s="1" t="s">
        <v>277</v>
      </c>
      <c r="I91" s="1" t="s">
        <v>276</v>
      </c>
      <c r="J91" s="1">
        <v>4834</v>
      </c>
      <c r="K91" s="1">
        <v>11988</v>
      </c>
      <c r="L91" s="1">
        <v>6036</v>
      </c>
      <c r="M91" s="1">
        <v>20417</v>
      </c>
      <c r="N91" s="1">
        <v>14417</v>
      </c>
      <c r="O91" s="1">
        <v>6135</v>
      </c>
      <c r="P91" s="1">
        <f t="shared" ref="P91:P138" si="22">P90</f>
        <v>4773</v>
      </c>
      <c r="Q91" s="1">
        <v>21241</v>
      </c>
      <c r="R91" s="1">
        <f t="shared" si="19"/>
        <v>70651</v>
      </c>
      <c r="S91" s="1">
        <f t="shared" si="20"/>
        <v>63289</v>
      </c>
      <c r="T91" s="1" t="str">
        <f t="shared" si="18"/>
        <v>省エネ基準居室間欠なし熱交換標準</v>
      </c>
      <c r="U91" s="1">
        <v>70.650999999999996</v>
      </c>
      <c r="V91" s="1">
        <f t="shared" si="21"/>
        <v>63.289000000000001</v>
      </c>
      <c r="W91" s="1">
        <v>0.87</v>
      </c>
    </row>
    <row r="92" spans="1:23" x14ac:dyDescent="0.55000000000000004">
      <c r="E92" s="1" t="s">
        <v>601</v>
      </c>
      <c r="F92" s="1" t="s">
        <v>231</v>
      </c>
      <c r="G92" s="1" t="s">
        <v>280</v>
      </c>
      <c r="H92" s="1" t="s">
        <v>277</v>
      </c>
      <c r="I92" s="22" t="s">
        <v>278</v>
      </c>
      <c r="J92" s="1">
        <v>4834</v>
      </c>
      <c r="K92" s="1">
        <v>11988</v>
      </c>
      <c r="L92" s="1">
        <v>6036</v>
      </c>
      <c r="M92" s="1">
        <v>11346</v>
      </c>
      <c r="N92" s="1">
        <f>M92</f>
        <v>11346</v>
      </c>
      <c r="O92" s="1">
        <v>6135</v>
      </c>
      <c r="P92" s="1">
        <f t="shared" si="22"/>
        <v>4773</v>
      </c>
      <c r="Q92" s="1">
        <v>21241</v>
      </c>
      <c r="R92" s="1">
        <f t="shared" si="19"/>
        <v>61580</v>
      </c>
      <c r="S92" s="1">
        <f t="shared" si="20"/>
        <v>60218</v>
      </c>
      <c r="T92" s="1" t="str">
        <f t="shared" si="18"/>
        <v>省エネ基準居室間欠なし熱交換ハイブリッド</v>
      </c>
      <c r="U92" s="1">
        <v>61.58</v>
      </c>
      <c r="V92" s="1">
        <f t="shared" si="21"/>
        <v>60.218000000000004</v>
      </c>
      <c r="W92" s="1">
        <v>0.87</v>
      </c>
    </row>
    <row r="93" spans="1:23" x14ac:dyDescent="0.55000000000000004">
      <c r="E93" s="1" t="s">
        <v>601</v>
      </c>
      <c r="F93" s="1" t="s">
        <v>305</v>
      </c>
      <c r="G93" s="1" t="s">
        <v>280</v>
      </c>
      <c r="H93" s="1" t="s">
        <v>176</v>
      </c>
      <c r="I93" s="1" t="s">
        <v>276</v>
      </c>
      <c r="J93" s="1">
        <v>924</v>
      </c>
      <c r="K93" s="1">
        <v>36313</v>
      </c>
      <c r="L93" s="1">
        <v>14874</v>
      </c>
      <c r="M93" s="1">
        <v>20417</v>
      </c>
      <c r="N93" s="1">
        <v>14417</v>
      </c>
      <c r="O93" s="1">
        <v>6135</v>
      </c>
      <c r="P93" s="1">
        <f t="shared" si="22"/>
        <v>4773</v>
      </c>
      <c r="Q93" s="1">
        <v>21241</v>
      </c>
      <c r="R93" s="1">
        <f t="shared" si="19"/>
        <v>99904</v>
      </c>
      <c r="S93" s="1">
        <f t="shared" si="20"/>
        <v>92542</v>
      </c>
      <c r="T93" s="1" t="str">
        <f t="shared" si="18"/>
        <v>省エネ基準全館空調なし第3種標準</v>
      </c>
      <c r="U93" s="1">
        <v>99.903999999999996</v>
      </c>
      <c r="V93" s="1">
        <f t="shared" si="21"/>
        <v>92.542000000000002</v>
      </c>
      <c r="W93" s="1">
        <v>0.87</v>
      </c>
    </row>
    <row r="94" spans="1:23" x14ac:dyDescent="0.55000000000000004">
      <c r="E94" s="1" t="s">
        <v>601</v>
      </c>
      <c r="F94" s="1" t="s">
        <v>305</v>
      </c>
      <c r="G94" s="1" t="s">
        <v>280</v>
      </c>
      <c r="H94" s="1" t="s">
        <v>274</v>
      </c>
      <c r="I94" s="22" t="s">
        <v>278</v>
      </c>
      <c r="J94" s="1">
        <v>924</v>
      </c>
      <c r="K94" s="1">
        <v>36313</v>
      </c>
      <c r="L94" s="1">
        <v>14874</v>
      </c>
      <c r="M94" s="1">
        <v>11346</v>
      </c>
      <c r="N94" s="1">
        <f>M94</f>
        <v>11346</v>
      </c>
      <c r="O94" s="1">
        <v>6135</v>
      </c>
      <c r="P94" s="1">
        <f t="shared" si="22"/>
        <v>4773</v>
      </c>
      <c r="Q94" s="1">
        <v>21241</v>
      </c>
      <c r="R94" s="1">
        <f t="shared" si="19"/>
        <v>90833</v>
      </c>
      <c r="S94" s="1">
        <f t="shared" si="20"/>
        <v>89471</v>
      </c>
      <c r="T94" s="1" t="str">
        <f t="shared" si="18"/>
        <v>省エネ基準全館空調なし第3種ハイブリッド</v>
      </c>
      <c r="U94" s="1">
        <v>90.832999999999998</v>
      </c>
      <c r="V94" s="1">
        <f t="shared" si="21"/>
        <v>89.471000000000004</v>
      </c>
      <c r="W94" s="1">
        <v>0.87</v>
      </c>
    </row>
    <row r="95" spans="1:23" x14ac:dyDescent="0.55000000000000004">
      <c r="E95" s="1" t="s">
        <v>601</v>
      </c>
      <c r="F95" s="1" t="s">
        <v>305</v>
      </c>
      <c r="G95" s="1" t="s">
        <v>280</v>
      </c>
      <c r="H95" s="1" t="s">
        <v>195</v>
      </c>
      <c r="I95" s="1" t="s">
        <v>276</v>
      </c>
      <c r="J95" s="1">
        <v>4834</v>
      </c>
      <c r="K95" s="1">
        <v>31247</v>
      </c>
      <c r="L95" s="1">
        <v>14874</v>
      </c>
      <c r="M95" s="1">
        <v>20417</v>
      </c>
      <c r="N95" s="1">
        <v>14417</v>
      </c>
      <c r="O95" s="1">
        <v>6135</v>
      </c>
      <c r="P95" s="1">
        <f t="shared" si="22"/>
        <v>4773</v>
      </c>
      <c r="Q95" s="1">
        <v>21241</v>
      </c>
      <c r="R95" s="1">
        <f t="shared" si="19"/>
        <v>98748</v>
      </c>
      <c r="S95" s="1">
        <f t="shared" si="20"/>
        <v>91386</v>
      </c>
      <c r="T95" s="1" t="str">
        <f t="shared" si="18"/>
        <v>省エネ基準全館空調なし熱交換標準</v>
      </c>
      <c r="U95" s="1">
        <v>98.748000000000005</v>
      </c>
      <c r="V95" s="1">
        <f t="shared" si="21"/>
        <v>91.385999999999996</v>
      </c>
      <c r="W95" s="1">
        <v>0.87</v>
      </c>
    </row>
    <row r="96" spans="1:23" x14ac:dyDescent="0.55000000000000004">
      <c r="E96" s="1" t="s">
        <v>601</v>
      </c>
      <c r="F96" s="1" t="s">
        <v>305</v>
      </c>
      <c r="G96" s="1" t="s">
        <v>281</v>
      </c>
      <c r="H96" s="1" t="s">
        <v>195</v>
      </c>
      <c r="I96" s="1" t="s">
        <v>276</v>
      </c>
      <c r="J96" s="1">
        <v>4834</v>
      </c>
      <c r="K96" s="1">
        <f>K95*$D$85</f>
        <v>21872.899999999998</v>
      </c>
      <c r="L96" s="1">
        <f>L95*$D$85</f>
        <v>10411.799999999999</v>
      </c>
      <c r="M96" s="1">
        <v>20417</v>
      </c>
      <c r="N96" s="1">
        <v>14417</v>
      </c>
      <c r="O96" s="1">
        <v>6135</v>
      </c>
      <c r="P96" s="1">
        <f t="shared" si="22"/>
        <v>4773</v>
      </c>
      <c r="Q96" s="1">
        <v>21241</v>
      </c>
      <c r="R96" s="1">
        <f t="shared" si="19"/>
        <v>84911.7</v>
      </c>
      <c r="S96" s="1">
        <f t="shared" si="20"/>
        <v>77549.7</v>
      </c>
      <c r="T96" s="1" t="str">
        <f t="shared" si="18"/>
        <v>省エネ基準全館空調あり熱交換標準</v>
      </c>
      <c r="U96" s="5">
        <f>R96/1000</f>
        <v>84.911699999999996</v>
      </c>
      <c r="V96" s="1">
        <f t="shared" si="21"/>
        <v>77.549700000000001</v>
      </c>
      <c r="W96" s="1">
        <v>0.87</v>
      </c>
    </row>
    <row r="97" spans="5:23" x14ac:dyDescent="0.55000000000000004">
      <c r="E97" s="1" t="s">
        <v>601</v>
      </c>
      <c r="F97" s="1" t="s">
        <v>305</v>
      </c>
      <c r="G97" s="1" t="s">
        <v>280</v>
      </c>
      <c r="H97" s="1" t="s">
        <v>277</v>
      </c>
      <c r="I97" s="22" t="s">
        <v>278</v>
      </c>
      <c r="J97" s="1">
        <v>4834</v>
      </c>
      <c r="K97" s="1">
        <v>31247</v>
      </c>
      <c r="L97" s="1">
        <v>14874</v>
      </c>
      <c r="M97" s="1">
        <v>11346</v>
      </c>
      <c r="N97" s="1">
        <f>M97</f>
        <v>11346</v>
      </c>
      <c r="O97" s="1">
        <v>6135</v>
      </c>
      <c r="P97" s="1">
        <f t="shared" si="22"/>
        <v>4773</v>
      </c>
      <c r="Q97" s="1">
        <v>21241</v>
      </c>
      <c r="R97" s="1">
        <f t="shared" si="19"/>
        <v>89677</v>
      </c>
      <c r="S97" s="1">
        <f t="shared" si="20"/>
        <v>88315</v>
      </c>
      <c r="T97" s="1" t="str">
        <f t="shared" si="18"/>
        <v>省エネ基準全館空調なし熱交換ハイブリッド</v>
      </c>
      <c r="U97" s="1">
        <v>89.677000000000007</v>
      </c>
      <c r="V97" s="1">
        <f t="shared" si="21"/>
        <v>88.314999999999998</v>
      </c>
      <c r="W97" s="1">
        <v>0.87</v>
      </c>
    </row>
    <row r="98" spans="5:23" x14ac:dyDescent="0.55000000000000004">
      <c r="E98" s="1" t="s">
        <v>601</v>
      </c>
      <c r="F98" s="1" t="s">
        <v>305</v>
      </c>
      <c r="G98" s="1" t="s">
        <v>281</v>
      </c>
      <c r="H98" s="1" t="s">
        <v>277</v>
      </c>
      <c r="I98" s="22" t="s">
        <v>278</v>
      </c>
      <c r="J98" s="1">
        <v>4834</v>
      </c>
      <c r="K98" s="1">
        <f>K97*$D$85</f>
        <v>21872.899999999998</v>
      </c>
      <c r="L98" s="1">
        <f>L97*$D$85</f>
        <v>10411.799999999999</v>
      </c>
      <c r="M98" s="1">
        <v>11346</v>
      </c>
      <c r="N98" s="1">
        <f>M98</f>
        <v>11346</v>
      </c>
      <c r="O98" s="1">
        <v>6135</v>
      </c>
      <c r="P98" s="1">
        <f t="shared" si="22"/>
        <v>4773</v>
      </c>
      <c r="Q98" s="1">
        <v>21241</v>
      </c>
      <c r="R98" s="1">
        <f t="shared" si="19"/>
        <v>75840.7</v>
      </c>
      <c r="S98" s="1">
        <f t="shared" si="20"/>
        <v>74478.7</v>
      </c>
      <c r="T98" s="1" t="str">
        <f t="shared" si="18"/>
        <v>省エネ基準全館空調あり熱交換ハイブリッド</v>
      </c>
      <c r="U98" s="24">
        <f>R98/1000</f>
        <v>75.840699999999998</v>
      </c>
      <c r="V98" s="1">
        <f t="shared" si="21"/>
        <v>74.478700000000003</v>
      </c>
      <c r="W98" s="1">
        <v>0.87</v>
      </c>
    </row>
    <row r="99" spans="5:23" x14ac:dyDescent="0.55000000000000004">
      <c r="E99" s="1" t="s">
        <v>603</v>
      </c>
      <c r="F99" s="1" t="s">
        <v>231</v>
      </c>
      <c r="G99" s="1" t="s">
        <v>280</v>
      </c>
      <c r="H99" s="1" t="s">
        <v>176</v>
      </c>
      <c r="I99" s="1" t="s">
        <v>276</v>
      </c>
      <c r="J99" s="1">
        <v>924</v>
      </c>
      <c r="K99" s="1">
        <v>12475</v>
      </c>
      <c r="L99" s="1">
        <v>4441</v>
      </c>
      <c r="M99" s="1">
        <v>20417</v>
      </c>
      <c r="N99" s="1">
        <v>14417</v>
      </c>
      <c r="O99" s="1">
        <v>6135</v>
      </c>
      <c r="P99" s="1">
        <f t="shared" si="22"/>
        <v>4773</v>
      </c>
      <c r="Q99" s="1">
        <v>21241</v>
      </c>
      <c r="R99" s="1">
        <f t="shared" si="19"/>
        <v>65633</v>
      </c>
      <c r="S99" s="1">
        <f t="shared" si="20"/>
        <v>58271</v>
      </c>
      <c r="T99" s="1" t="str">
        <f t="shared" si="18"/>
        <v>ZEH居室間欠なし第3種標準</v>
      </c>
      <c r="U99" s="1">
        <v>65.632999999999996</v>
      </c>
      <c r="V99" s="1">
        <f t="shared" si="21"/>
        <v>58.271000000000001</v>
      </c>
      <c r="W99" s="1">
        <v>0.6</v>
      </c>
    </row>
    <row r="100" spans="5:23" x14ac:dyDescent="0.55000000000000004">
      <c r="E100" s="1" t="s">
        <v>603</v>
      </c>
      <c r="F100" s="1" t="s">
        <v>231</v>
      </c>
      <c r="G100" s="1" t="s">
        <v>280</v>
      </c>
      <c r="H100" s="1" t="s">
        <v>274</v>
      </c>
      <c r="I100" s="22" t="s">
        <v>278</v>
      </c>
      <c r="J100" s="1">
        <v>924</v>
      </c>
      <c r="K100" s="1">
        <v>12475</v>
      </c>
      <c r="L100" s="1">
        <v>4441</v>
      </c>
      <c r="M100" s="1">
        <v>11346</v>
      </c>
      <c r="N100" s="1">
        <f>M100</f>
        <v>11346</v>
      </c>
      <c r="O100" s="1">
        <v>6135</v>
      </c>
      <c r="P100" s="1">
        <f t="shared" si="22"/>
        <v>4773</v>
      </c>
      <c r="Q100" s="1">
        <v>21241</v>
      </c>
      <c r="R100" s="1">
        <f t="shared" si="19"/>
        <v>56562</v>
      </c>
      <c r="S100" s="1">
        <f t="shared" si="20"/>
        <v>55200</v>
      </c>
      <c r="T100" s="1" t="str">
        <f t="shared" si="18"/>
        <v>ZEH居室間欠なし第3種ハイブリッド</v>
      </c>
      <c r="U100" s="1">
        <v>56.561999999999998</v>
      </c>
      <c r="V100" s="1">
        <f t="shared" si="21"/>
        <v>55.2</v>
      </c>
      <c r="W100" s="1">
        <v>0.6</v>
      </c>
    </row>
    <row r="101" spans="5:23" x14ac:dyDescent="0.55000000000000004">
      <c r="E101" s="1" t="s">
        <v>603</v>
      </c>
      <c r="F101" s="1" t="s">
        <v>231</v>
      </c>
      <c r="G101" s="1" t="s">
        <v>280</v>
      </c>
      <c r="H101" s="1" t="s">
        <v>195</v>
      </c>
      <c r="I101" s="1" t="s">
        <v>276</v>
      </c>
      <c r="J101" s="1">
        <v>4834</v>
      </c>
      <c r="K101" s="1">
        <v>10011</v>
      </c>
      <c r="L101" s="1">
        <v>4441</v>
      </c>
      <c r="M101" s="1">
        <v>20417</v>
      </c>
      <c r="N101" s="1">
        <v>14417</v>
      </c>
      <c r="O101" s="1">
        <v>6135</v>
      </c>
      <c r="P101" s="1">
        <f t="shared" si="22"/>
        <v>4773</v>
      </c>
      <c r="Q101" s="1">
        <v>21241</v>
      </c>
      <c r="R101" s="1">
        <f t="shared" si="19"/>
        <v>67079</v>
      </c>
      <c r="S101" s="1">
        <f t="shared" si="20"/>
        <v>59717</v>
      </c>
      <c r="T101" s="1" t="str">
        <f t="shared" si="18"/>
        <v>ZEH居室間欠なし熱交換標準</v>
      </c>
      <c r="U101" s="1">
        <v>67.078999999999994</v>
      </c>
      <c r="V101" s="1">
        <f t="shared" si="21"/>
        <v>59.716999999999999</v>
      </c>
      <c r="W101" s="1">
        <v>0.6</v>
      </c>
    </row>
    <row r="102" spans="5:23" x14ac:dyDescent="0.55000000000000004">
      <c r="E102" s="1" t="s">
        <v>603</v>
      </c>
      <c r="F102" s="1" t="s">
        <v>231</v>
      </c>
      <c r="G102" s="1" t="s">
        <v>280</v>
      </c>
      <c r="H102" s="1" t="s">
        <v>277</v>
      </c>
      <c r="I102" s="22" t="s">
        <v>278</v>
      </c>
      <c r="J102" s="1">
        <v>4834</v>
      </c>
      <c r="K102" s="1">
        <v>10011</v>
      </c>
      <c r="L102" s="1">
        <v>4441</v>
      </c>
      <c r="M102" s="1">
        <v>11346</v>
      </c>
      <c r="N102" s="1">
        <f>M102</f>
        <v>11346</v>
      </c>
      <c r="O102" s="1">
        <v>6135</v>
      </c>
      <c r="P102" s="1">
        <f t="shared" si="22"/>
        <v>4773</v>
      </c>
      <c r="Q102" s="1">
        <v>21241</v>
      </c>
      <c r="R102" s="1">
        <f t="shared" si="19"/>
        <v>58008</v>
      </c>
      <c r="S102" s="1">
        <f t="shared" si="20"/>
        <v>56646</v>
      </c>
      <c r="T102" s="1" t="str">
        <f t="shared" si="18"/>
        <v>ZEH居室間欠なし熱交換ハイブリッド</v>
      </c>
      <c r="U102" s="1">
        <v>58.008000000000003</v>
      </c>
      <c r="V102" s="1">
        <f t="shared" si="21"/>
        <v>56.646000000000001</v>
      </c>
      <c r="W102" s="1">
        <v>0.6</v>
      </c>
    </row>
    <row r="103" spans="5:23" x14ac:dyDescent="0.55000000000000004">
      <c r="E103" s="1" t="s">
        <v>603</v>
      </c>
      <c r="F103" s="1" t="s">
        <v>305</v>
      </c>
      <c r="G103" s="1" t="s">
        <v>280</v>
      </c>
      <c r="H103" s="1" t="s">
        <v>176</v>
      </c>
      <c r="I103" s="1" t="s">
        <v>276</v>
      </c>
      <c r="J103" s="1">
        <v>924</v>
      </c>
      <c r="K103" s="1">
        <v>34237</v>
      </c>
      <c r="L103" s="1">
        <v>12379</v>
      </c>
      <c r="M103" s="1">
        <v>20417</v>
      </c>
      <c r="N103" s="1">
        <v>14417</v>
      </c>
      <c r="O103" s="1">
        <v>6135</v>
      </c>
      <c r="P103" s="1">
        <f t="shared" si="22"/>
        <v>4773</v>
      </c>
      <c r="Q103" s="1">
        <v>21241</v>
      </c>
      <c r="R103" s="1">
        <f t="shared" si="19"/>
        <v>95333</v>
      </c>
      <c r="S103" s="1">
        <f t="shared" si="20"/>
        <v>87971</v>
      </c>
      <c r="T103" s="1" t="str">
        <f t="shared" si="18"/>
        <v>ZEH全館空調なし第3種標準</v>
      </c>
      <c r="U103" s="1">
        <v>95.332999999999998</v>
      </c>
      <c r="V103" s="1">
        <f t="shared" si="21"/>
        <v>87.971000000000004</v>
      </c>
      <c r="W103" s="1">
        <v>0.6</v>
      </c>
    </row>
    <row r="104" spans="5:23" x14ac:dyDescent="0.55000000000000004">
      <c r="E104" s="1" t="s">
        <v>603</v>
      </c>
      <c r="F104" s="1" t="s">
        <v>305</v>
      </c>
      <c r="G104" s="1" t="s">
        <v>280</v>
      </c>
      <c r="H104" s="1" t="s">
        <v>274</v>
      </c>
      <c r="I104" s="22" t="s">
        <v>278</v>
      </c>
      <c r="J104" s="1">
        <v>924</v>
      </c>
      <c r="K104" s="1">
        <v>34237</v>
      </c>
      <c r="L104" s="1">
        <v>12379</v>
      </c>
      <c r="M104" s="1">
        <v>11346</v>
      </c>
      <c r="N104" s="1">
        <f>M104</f>
        <v>11346</v>
      </c>
      <c r="O104" s="1">
        <v>6135</v>
      </c>
      <c r="P104" s="1">
        <f t="shared" si="22"/>
        <v>4773</v>
      </c>
      <c r="Q104" s="1">
        <v>21241</v>
      </c>
      <c r="R104" s="1">
        <f t="shared" si="19"/>
        <v>86262</v>
      </c>
      <c r="S104" s="1">
        <f t="shared" si="20"/>
        <v>84900</v>
      </c>
      <c r="T104" s="1" t="str">
        <f t="shared" si="18"/>
        <v>ZEH全館空調なし第3種ハイブリッド</v>
      </c>
      <c r="U104" s="1">
        <v>86.262</v>
      </c>
      <c r="V104" s="1">
        <f t="shared" si="21"/>
        <v>84.9</v>
      </c>
      <c r="W104" s="1">
        <v>0.6</v>
      </c>
    </row>
    <row r="105" spans="5:23" x14ac:dyDescent="0.55000000000000004">
      <c r="E105" s="1" t="s">
        <v>603</v>
      </c>
      <c r="F105" s="1" t="s">
        <v>305</v>
      </c>
      <c r="G105" s="1" t="s">
        <v>280</v>
      </c>
      <c r="H105" s="1" t="s">
        <v>195</v>
      </c>
      <c r="I105" s="1" t="s">
        <v>276</v>
      </c>
      <c r="J105" s="1">
        <v>4834</v>
      </c>
      <c r="K105" s="1">
        <v>28402</v>
      </c>
      <c r="L105" s="1">
        <v>12379</v>
      </c>
      <c r="M105" s="1">
        <v>20417</v>
      </c>
      <c r="N105" s="1">
        <v>14417</v>
      </c>
      <c r="O105" s="1">
        <v>6135</v>
      </c>
      <c r="P105" s="1">
        <f t="shared" si="22"/>
        <v>4773</v>
      </c>
      <c r="Q105" s="1">
        <v>21241</v>
      </c>
      <c r="R105" s="1">
        <f t="shared" si="19"/>
        <v>93408</v>
      </c>
      <c r="S105" s="1">
        <f t="shared" si="20"/>
        <v>86046</v>
      </c>
      <c r="T105" s="1" t="str">
        <f t="shared" si="18"/>
        <v>ZEH全館空調なし熱交換標準</v>
      </c>
      <c r="U105" s="1">
        <v>93.408000000000001</v>
      </c>
      <c r="V105" s="1">
        <f t="shared" si="21"/>
        <v>86.046000000000006</v>
      </c>
      <c r="W105" s="1">
        <v>0.6</v>
      </c>
    </row>
    <row r="106" spans="5:23" x14ac:dyDescent="0.55000000000000004">
      <c r="E106" s="1" t="s">
        <v>603</v>
      </c>
      <c r="F106" s="1" t="s">
        <v>305</v>
      </c>
      <c r="G106" s="1" t="s">
        <v>281</v>
      </c>
      <c r="H106" s="1" t="s">
        <v>195</v>
      </c>
      <c r="I106" s="1" t="s">
        <v>276</v>
      </c>
      <c r="J106" s="1">
        <v>4834</v>
      </c>
      <c r="K106" s="1">
        <f>K105*$D$85</f>
        <v>19881.399999999998</v>
      </c>
      <c r="L106" s="1">
        <f>L105*$D$85</f>
        <v>8665.2999999999993</v>
      </c>
      <c r="M106" s="1">
        <v>20417</v>
      </c>
      <c r="N106" s="1">
        <v>14417</v>
      </c>
      <c r="O106" s="1">
        <v>6135</v>
      </c>
      <c r="P106" s="1">
        <f t="shared" si="22"/>
        <v>4773</v>
      </c>
      <c r="Q106" s="1">
        <v>21241</v>
      </c>
      <c r="R106" s="1">
        <f t="shared" si="19"/>
        <v>81173.7</v>
      </c>
      <c r="S106" s="1">
        <f t="shared" si="20"/>
        <v>73811.7</v>
      </c>
      <c r="T106" s="1" t="str">
        <f t="shared" si="18"/>
        <v>ZEH全館空調あり熱交換標準</v>
      </c>
      <c r="U106" s="5">
        <f>R106/1000</f>
        <v>81.173699999999997</v>
      </c>
      <c r="V106" s="1">
        <f t="shared" si="21"/>
        <v>73.811700000000002</v>
      </c>
      <c r="W106" s="1">
        <v>0.6</v>
      </c>
    </row>
    <row r="107" spans="5:23" x14ac:dyDescent="0.55000000000000004">
      <c r="E107" s="1" t="s">
        <v>603</v>
      </c>
      <c r="F107" s="1" t="s">
        <v>305</v>
      </c>
      <c r="G107" s="1" t="s">
        <v>280</v>
      </c>
      <c r="H107" s="1" t="s">
        <v>277</v>
      </c>
      <c r="I107" s="22" t="s">
        <v>278</v>
      </c>
      <c r="J107" s="1">
        <v>4834</v>
      </c>
      <c r="K107" s="1">
        <v>28402</v>
      </c>
      <c r="L107" s="1">
        <v>12379</v>
      </c>
      <c r="M107" s="1">
        <v>11346</v>
      </c>
      <c r="N107" s="1">
        <f>M107</f>
        <v>11346</v>
      </c>
      <c r="O107" s="1">
        <v>6135</v>
      </c>
      <c r="P107" s="1">
        <f t="shared" si="22"/>
        <v>4773</v>
      </c>
      <c r="Q107" s="1">
        <v>21241</v>
      </c>
      <c r="R107" s="1">
        <f t="shared" si="19"/>
        <v>84337</v>
      </c>
      <c r="S107" s="1">
        <f t="shared" si="20"/>
        <v>82975</v>
      </c>
      <c r="T107" s="1" t="str">
        <f t="shared" si="18"/>
        <v>ZEH全館空調なし熱交換ハイブリッド</v>
      </c>
      <c r="U107" s="1">
        <v>84.337000000000003</v>
      </c>
      <c r="V107" s="1">
        <f t="shared" si="21"/>
        <v>82.974999999999994</v>
      </c>
      <c r="W107" s="1">
        <v>0.6</v>
      </c>
    </row>
    <row r="108" spans="5:23" x14ac:dyDescent="0.55000000000000004">
      <c r="E108" s="1" t="s">
        <v>603</v>
      </c>
      <c r="F108" s="1" t="s">
        <v>305</v>
      </c>
      <c r="G108" s="1" t="s">
        <v>281</v>
      </c>
      <c r="H108" s="1" t="s">
        <v>277</v>
      </c>
      <c r="I108" s="22" t="s">
        <v>278</v>
      </c>
      <c r="J108" s="1">
        <v>4834</v>
      </c>
      <c r="K108" s="1">
        <f>K107*$D$85</f>
        <v>19881.399999999998</v>
      </c>
      <c r="L108" s="1">
        <f>L107*$D$85</f>
        <v>8665.2999999999993</v>
      </c>
      <c r="M108" s="1">
        <v>11346</v>
      </c>
      <c r="N108" s="1">
        <f>M108</f>
        <v>11346</v>
      </c>
      <c r="O108" s="1">
        <v>6135</v>
      </c>
      <c r="P108" s="1">
        <f t="shared" si="22"/>
        <v>4773</v>
      </c>
      <c r="Q108" s="1">
        <v>21241</v>
      </c>
      <c r="R108" s="1">
        <f t="shared" si="19"/>
        <v>72102.7</v>
      </c>
      <c r="S108" s="1">
        <f t="shared" si="20"/>
        <v>70740.7</v>
      </c>
      <c r="T108" s="1" t="str">
        <f t="shared" si="18"/>
        <v>ZEH全館空調あり熱交換ハイブリッド</v>
      </c>
      <c r="U108" s="24">
        <f>R108/1000</f>
        <v>72.102699999999999</v>
      </c>
      <c r="V108" s="1">
        <f t="shared" si="21"/>
        <v>70.740700000000004</v>
      </c>
      <c r="W108" s="1">
        <v>0.6</v>
      </c>
    </row>
    <row r="109" spans="5:23" x14ac:dyDescent="0.55000000000000004">
      <c r="E109" s="1" t="s">
        <v>604</v>
      </c>
      <c r="F109" s="1" t="s">
        <v>231</v>
      </c>
      <c r="G109" s="1" t="s">
        <v>280</v>
      </c>
      <c r="H109" s="1" t="s">
        <v>176</v>
      </c>
      <c r="I109" s="1" t="s">
        <v>276</v>
      </c>
      <c r="J109" s="1">
        <v>924</v>
      </c>
      <c r="K109" s="1">
        <v>12135</v>
      </c>
      <c r="L109" s="1">
        <v>4480</v>
      </c>
      <c r="M109" s="1">
        <v>20417</v>
      </c>
      <c r="N109" s="1">
        <v>14417</v>
      </c>
      <c r="O109" s="1">
        <v>6135</v>
      </c>
      <c r="P109" s="1">
        <f t="shared" si="22"/>
        <v>4773</v>
      </c>
      <c r="Q109" s="1">
        <v>21241</v>
      </c>
      <c r="R109" s="1">
        <f t="shared" si="19"/>
        <v>65332</v>
      </c>
      <c r="S109" s="1">
        <f t="shared" si="20"/>
        <v>57970</v>
      </c>
      <c r="T109" s="1" t="str">
        <f t="shared" si="18"/>
        <v>G1居室間欠なし第3種標準</v>
      </c>
      <c r="U109" s="1">
        <v>65.331999999999994</v>
      </c>
      <c r="V109" s="1">
        <f t="shared" si="21"/>
        <v>57.97</v>
      </c>
      <c r="W109" s="1">
        <v>0.56000000000000005</v>
      </c>
    </row>
    <row r="110" spans="5:23" x14ac:dyDescent="0.55000000000000004">
      <c r="E110" s="1" t="s">
        <v>604</v>
      </c>
      <c r="F110" s="1" t="s">
        <v>231</v>
      </c>
      <c r="G110" s="1" t="s">
        <v>280</v>
      </c>
      <c r="H110" s="1" t="s">
        <v>274</v>
      </c>
      <c r="I110" s="22" t="s">
        <v>278</v>
      </c>
      <c r="J110" s="1">
        <v>924</v>
      </c>
      <c r="K110" s="1">
        <v>12135</v>
      </c>
      <c r="L110" s="1">
        <v>4480</v>
      </c>
      <c r="M110" s="1">
        <v>11346</v>
      </c>
      <c r="N110" s="1">
        <f>M110</f>
        <v>11346</v>
      </c>
      <c r="O110" s="1">
        <v>6135</v>
      </c>
      <c r="P110" s="1">
        <f t="shared" si="22"/>
        <v>4773</v>
      </c>
      <c r="Q110" s="1">
        <v>21241</v>
      </c>
      <c r="R110" s="1">
        <f t="shared" si="19"/>
        <v>56261</v>
      </c>
      <c r="S110" s="1">
        <f t="shared" si="20"/>
        <v>54899</v>
      </c>
      <c r="T110" s="1" t="str">
        <f t="shared" si="18"/>
        <v>G1居室間欠なし第3種ハイブリッド</v>
      </c>
      <c r="U110" s="1">
        <v>56.261000000000003</v>
      </c>
      <c r="V110" s="1">
        <f t="shared" si="21"/>
        <v>54.899000000000001</v>
      </c>
      <c r="W110" s="1">
        <v>0.56000000000000005</v>
      </c>
    </row>
    <row r="111" spans="5:23" x14ac:dyDescent="0.55000000000000004">
      <c r="E111" s="1" t="s">
        <v>604</v>
      </c>
      <c r="F111" s="1" t="s">
        <v>231</v>
      </c>
      <c r="G111" s="1" t="s">
        <v>280</v>
      </c>
      <c r="H111" s="1" t="s">
        <v>195</v>
      </c>
      <c r="I111" s="1" t="s">
        <v>276</v>
      </c>
      <c r="J111" s="1">
        <v>4834</v>
      </c>
      <c r="K111" s="1">
        <v>9906</v>
      </c>
      <c r="L111" s="1">
        <v>4480</v>
      </c>
      <c r="M111" s="1">
        <v>20417</v>
      </c>
      <c r="N111" s="1">
        <v>14417</v>
      </c>
      <c r="O111" s="1">
        <v>6135</v>
      </c>
      <c r="P111" s="1">
        <f t="shared" si="22"/>
        <v>4773</v>
      </c>
      <c r="Q111" s="1">
        <v>21241</v>
      </c>
      <c r="R111" s="1">
        <f t="shared" si="19"/>
        <v>67013</v>
      </c>
      <c r="S111" s="1">
        <f t="shared" si="20"/>
        <v>59651</v>
      </c>
      <c r="T111" s="1" t="str">
        <f t="shared" si="18"/>
        <v>G1居室間欠なし熱交換標準</v>
      </c>
      <c r="U111" s="1">
        <v>67.013000000000005</v>
      </c>
      <c r="V111" s="1">
        <f t="shared" si="21"/>
        <v>59.651000000000003</v>
      </c>
      <c r="W111" s="1">
        <v>0.56000000000000005</v>
      </c>
    </row>
    <row r="112" spans="5:23" x14ac:dyDescent="0.55000000000000004">
      <c r="E112" s="1" t="s">
        <v>604</v>
      </c>
      <c r="F112" s="1" t="s">
        <v>231</v>
      </c>
      <c r="G112" s="1" t="s">
        <v>280</v>
      </c>
      <c r="H112" s="1" t="s">
        <v>277</v>
      </c>
      <c r="I112" s="22" t="s">
        <v>278</v>
      </c>
      <c r="J112" s="1">
        <v>4834</v>
      </c>
      <c r="K112" s="1">
        <v>9906</v>
      </c>
      <c r="L112" s="1">
        <v>4480</v>
      </c>
      <c r="M112" s="1">
        <v>11346</v>
      </c>
      <c r="N112" s="1">
        <f>M112</f>
        <v>11346</v>
      </c>
      <c r="O112" s="1">
        <v>6135</v>
      </c>
      <c r="P112" s="1">
        <f t="shared" si="22"/>
        <v>4773</v>
      </c>
      <c r="Q112" s="1">
        <v>21241</v>
      </c>
      <c r="R112" s="1">
        <f t="shared" si="19"/>
        <v>57942</v>
      </c>
      <c r="S112" s="1">
        <f t="shared" si="20"/>
        <v>56580</v>
      </c>
      <c r="T112" s="1" t="str">
        <f t="shared" si="18"/>
        <v>G1居室間欠なし熱交換ハイブリッド</v>
      </c>
      <c r="U112" s="1">
        <v>57.942</v>
      </c>
      <c r="V112" s="1">
        <f t="shared" si="21"/>
        <v>56.58</v>
      </c>
      <c r="W112" s="1">
        <v>0.56000000000000005</v>
      </c>
    </row>
    <row r="113" spans="5:23" x14ac:dyDescent="0.55000000000000004">
      <c r="E113" s="1" t="s">
        <v>604</v>
      </c>
      <c r="F113" s="1" t="s">
        <v>305</v>
      </c>
      <c r="G113" s="1" t="s">
        <v>280</v>
      </c>
      <c r="H113" s="1" t="s">
        <v>176</v>
      </c>
      <c r="I113" s="1" t="s">
        <v>276</v>
      </c>
      <c r="J113" s="1">
        <v>924</v>
      </c>
      <c r="K113" s="1">
        <v>33400</v>
      </c>
      <c r="L113" s="1">
        <v>12448</v>
      </c>
      <c r="M113" s="1">
        <v>20417</v>
      </c>
      <c r="N113" s="1">
        <v>14417</v>
      </c>
      <c r="O113" s="1">
        <v>6135</v>
      </c>
      <c r="P113" s="1">
        <f t="shared" si="22"/>
        <v>4773</v>
      </c>
      <c r="Q113" s="1">
        <v>21241</v>
      </c>
      <c r="R113" s="1">
        <f t="shared" si="19"/>
        <v>94565</v>
      </c>
      <c r="S113" s="1">
        <f t="shared" si="20"/>
        <v>87203</v>
      </c>
      <c r="T113" s="1" t="str">
        <f t="shared" si="18"/>
        <v>G1全館空調なし第3種標準</v>
      </c>
      <c r="U113" s="1">
        <v>94.564999999999998</v>
      </c>
      <c r="V113" s="1">
        <f t="shared" si="21"/>
        <v>87.203000000000003</v>
      </c>
      <c r="W113" s="1">
        <v>0.56000000000000005</v>
      </c>
    </row>
    <row r="114" spans="5:23" x14ac:dyDescent="0.55000000000000004">
      <c r="E114" s="1" t="s">
        <v>604</v>
      </c>
      <c r="F114" s="1" t="s">
        <v>305</v>
      </c>
      <c r="G114" s="1" t="s">
        <v>280</v>
      </c>
      <c r="H114" s="1" t="s">
        <v>274</v>
      </c>
      <c r="I114" s="22" t="s">
        <v>278</v>
      </c>
      <c r="J114" s="1">
        <v>924</v>
      </c>
      <c r="K114" s="1">
        <v>33400</v>
      </c>
      <c r="L114" s="1">
        <v>12448</v>
      </c>
      <c r="M114" s="1">
        <v>11346</v>
      </c>
      <c r="N114" s="1">
        <f>M114</f>
        <v>11346</v>
      </c>
      <c r="O114" s="1">
        <v>6135</v>
      </c>
      <c r="P114" s="1">
        <f t="shared" si="22"/>
        <v>4773</v>
      </c>
      <c r="Q114" s="1">
        <v>21241</v>
      </c>
      <c r="R114" s="1">
        <f t="shared" si="19"/>
        <v>85494</v>
      </c>
      <c r="S114" s="1">
        <f t="shared" si="20"/>
        <v>84132</v>
      </c>
      <c r="T114" s="1" t="str">
        <f t="shared" si="18"/>
        <v>G1全館空調なし第3種ハイブリッド</v>
      </c>
      <c r="U114" s="1">
        <v>85.494</v>
      </c>
      <c r="V114" s="1">
        <f t="shared" si="21"/>
        <v>84.132000000000005</v>
      </c>
      <c r="W114" s="1">
        <v>0.56000000000000005</v>
      </c>
    </row>
    <row r="115" spans="5:23" x14ac:dyDescent="0.55000000000000004">
      <c r="E115" s="1" t="s">
        <v>604</v>
      </c>
      <c r="F115" s="1" t="s">
        <v>305</v>
      </c>
      <c r="G115" s="1" t="s">
        <v>280</v>
      </c>
      <c r="H115" s="1" t="s">
        <v>195</v>
      </c>
      <c r="I115" s="1" t="s">
        <v>276</v>
      </c>
      <c r="J115" s="1">
        <v>4834</v>
      </c>
      <c r="K115" s="1">
        <v>28238</v>
      </c>
      <c r="L115" s="1">
        <v>12448</v>
      </c>
      <c r="M115" s="1">
        <v>20417</v>
      </c>
      <c r="N115" s="1">
        <v>14417</v>
      </c>
      <c r="O115" s="1">
        <v>6135</v>
      </c>
      <c r="P115" s="1">
        <f t="shared" si="22"/>
        <v>4773</v>
      </c>
      <c r="Q115" s="1">
        <v>21241</v>
      </c>
      <c r="R115" s="1">
        <f t="shared" si="19"/>
        <v>93313</v>
      </c>
      <c r="S115" s="1">
        <f t="shared" si="20"/>
        <v>85951</v>
      </c>
      <c r="T115" s="1" t="str">
        <f t="shared" si="18"/>
        <v>G1全館空調なし熱交換標準</v>
      </c>
      <c r="U115" s="1">
        <v>93.313000000000002</v>
      </c>
      <c r="V115" s="1">
        <f t="shared" si="21"/>
        <v>85.950999999999993</v>
      </c>
      <c r="W115" s="1">
        <v>0.56000000000000005</v>
      </c>
    </row>
    <row r="116" spans="5:23" x14ac:dyDescent="0.55000000000000004">
      <c r="E116" s="1" t="s">
        <v>604</v>
      </c>
      <c r="F116" s="1" t="s">
        <v>305</v>
      </c>
      <c r="G116" s="1" t="s">
        <v>281</v>
      </c>
      <c r="H116" s="1" t="s">
        <v>195</v>
      </c>
      <c r="I116" s="1" t="s">
        <v>276</v>
      </c>
      <c r="J116" s="1">
        <v>4834</v>
      </c>
      <c r="K116" s="1">
        <f>K115*$D$85</f>
        <v>19766.599999999999</v>
      </c>
      <c r="L116" s="1">
        <f>L115*$D$85</f>
        <v>8713.5999999999985</v>
      </c>
      <c r="M116" s="1">
        <v>20417</v>
      </c>
      <c r="N116" s="1">
        <v>14417</v>
      </c>
      <c r="O116" s="1">
        <v>6135</v>
      </c>
      <c r="P116" s="1">
        <f t="shared" si="22"/>
        <v>4773</v>
      </c>
      <c r="Q116" s="1">
        <v>21241</v>
      </c>
      <c r="R116" s="1">
        <f t="shared" si="19"/>
        <v>81107.199999999997</v>
      </c>
      <c r="S116" s="1">
        <f t="shared" si="20"/>
        <v>73745.2</v>
      </c>
      <c r="T116" s="1" t="str">
        <f t="shared" si="18"/>
        <v>G1全館空調あり熱交換標準</v>
      </c>
      <c r="U116" s="5">
        <f>R116/1000</f>
        <v>81.107199999999992</v>
      </c>
      <c r="V116" s="1">
        <f t="shared" si="21"/>
        <v>73.745199999999997</v>
      </c>
      <c r="W116" s="1">
        <v>0.56000000000000005</v>
      </c>
    </row>
    <row r="117" spans="5:23" x14ac:dyDescent="0.55000000000000004">
      <c r="E117" s="1" t="s">
        <v>604</v>
      </c>
      <c r="F117" s="1" t="s">
        <v>305</v>
      </c>
      <c r="G117" s="1" t="s">
        <v>280</v>
      </c>
      <c r="H117" s="1" t="s">
        <v>277</v>
      </c>
      <c r="I117" s="22" t="s">
        <v>278</v>
      </c>
      <c r="J117" s="1">
        <v>4834</v>
      </c>
      <c r="K117" s="1">
        <v>28238</v>
      </c>
      <c r="L117" s="1">
        <v>12448</v>
      </c>
      <c r="M117" s="1">
        <v>11346</v>
      </c>
      <c r="N117" s="1">
        <f>M117</f>
        <v>11346</v>
      </c>
      <c r="O117" s="1">
        <v>6135</v>
      </c>
      <c r="P117" s="1">
        <f t="shared" si="22"/>
        <v>4773</v>
      </c>
      <c r="Q117" s="1">
        <v>21241</v>
      </c>
      <c r="R117" s="1">
        <f t="shared" si="19"/>
        <v>84242</v>
      </c>
      <c r="S117" s="1">
        <f t="shared" si="20"/>
        <v>82880</v>
      </c>
      <c r="T117" s="1" t="str">
        <f t="shared" si="18"/>
        <v>G1全館空調なし熱交換ハイブリッド</v>
      </c>
      <c r="U117" s="1">
        <v>84.242000000000004</v>
      </c>
      <c r="V117" s="1">
        <f t="shared" si="21"/>
        <v>82.88</v>
      </c>
      <c r="W117" s="1">
        <v>0.56000000000000005</v>
      </c>
    </row>
    <row r="118" spans="5:23" x14ac:dyDescent="0.55000000000000004">
      <c r="E118" s="1" t="s">
        <v>604</v>
      </c>
      <c r="F118" s="1" t="s">
        <v>305</v>
      </c>
      <c r="G118" s="1" t="s">
        <v>281</v>
      </c>
      <c r="H118" s="1" t="s">
        <v>277</v>
      </c>
      <c r="I118" s="22" t="s">
        <v>278</v>
      </c>
      <c r="J118" s="1">
        <v>4834</v>
      </c>
      <c r="K118" s="1">
        <f>K117*$D$85</f>
        <v>19766.599999999999</v>
      </c>
      <c r="L118" s="1">
        <f>L117*$D$85</f>
        <v>8713.5999999999985</v>
      </c>
      <c r="M118" s="1">
        <v>11346</v>
      </c>
      <c r="N118" s="1">
        <f>M118</f>
        <v>11346</v>
      </c>
      <c r="O118" s="1">
        <v>6135</v>
      </c>
      <c r="P118" s="1">
        <f t="shared" si="22"/>
        <v>4773</v>
      </c>
      <c r="Q118" s="1">
        <v>21241</v>
      </c>
      <c r="R118" s="1">
        <f t="shared" si="19"/>
        <v>72036.2</v>
      </c>
      <c r="S118" s="1">
        <f t="shared" si="20"/>
        <v>70674.2</v>
      </c>
      <c r="T118" s="1" t="str">
        <f t="shared" si="18"/>
        <v>G1全館空調あり熱交換ハイブリッド</v>
      </c>
      <c r="U118" s="24">
        <f>R118/1000</f>
        <v>72.036199999999994</v>
      </c>
      <c r="V118" s="1">
        <f t="shared" si="21"/>
        <v>70.674199999999999</v>
      </c>
      <c r="W118" s="1">
        <v>0.56000000000000005</v>
      </c>
    </row>
    <row r="119" spans="5:23" x14ac:dyDescent="0.55000000000000004">
      <c r="E119" s="1" t="s">
        <v>605</v>
      </c>
      <c r="F119" s="1" t="s">
        <v>231</v>
      </c>
      <c r="G119" s="1" t="s">
        <v>280</v>
      </c>
      <c r="H119" s="1" t="s">
        <v>176</v>
      </c>
      <c r="I119" s="1" t="s">
        <v>276</v>
      </c>
      <c r="J119" s="1">
        <v>924</v>
      </c>
      <c r="K119" s="1">
        <v>10622</v>
      </c>
      <c r="L119" s="1">
        <v>4445</v>
      </c>
      <c r="M119" s="1">
        <v>20417</v>
      </c>
      <c r="N119" s="1">
        <v>14417</v>
      </c>
      <c r="O119" s="1">
        <v>6135</v>
      </c>
      <c r="P119" s="1">
        <f t="shared" si="22"/>
        <v>4773</v>
      </c>
      <c r="Q119" s="1">
        <v>21241</v>
      </c>
      <c r="R119" s="1">
        <f t="shared" si="19"/>
        <v>63784</v>
      </c>
      <c r="S119" s="1">
        <f t="shared" si="20"/>
        <v>56422</v>
      </c>
      <c r="T119" s="1" t="str">
        <f t="shared" ref="T119:T138" si="23">E119&amp;F119&amp;G119&amp;H119&amp;I119</f>
        <v>G2居室間欠なし第3種標準</v>
      </c>
      <c r="U119" s="1">
        <v>63.783999999999999</v>
      </c>
      <c r="V119" s="1">
        <f t="shared" si="21"/>
        <v>56.421999999999997</v>
      </c>
      <c r="W119" s="1">
        <v>0.46</v>
      </c>
    </row>
    <row r="120" spans="5:23" x14ac:dyDescent="0.55000000000000004">
      <c r="E120" s="1" t="s">
        <v>605</v>
      </c>
      <c r="F120" s="1" t="s">
        <v>231</v>
      </c>
      <c r="G120" s="1" t="s">
        <v>280</v>
      </c>
      <c r="H120" s="1" t="s">
        <v>274</v>
      </c>
      <c r="I120" s="22" t="s">
        <v>278</v>
      </c>
      <c r="J120" s="1">
        <v>924</v>
      </c>
      <c r="K120" s="1">
        <v>10622</v>
      </c>
      <c r="L120" s="1">
        <v>4445</v>
      </c>
      <c r="M120" s="1">
        <v>11346</v>
      </c>
      <c r="N120" s="1">
        <f>M120</f>
        <v>11346</v>
      </c>
      <c r="O120" s="1">
        <v>6135</v>
      </c>
      <c r="P120" s="1">
        <f t="shared" si="22"/>
        <v>4773</v>
      </c>
      <c r="Q120" s="1">
        <v>21241</v>
      </c>
      <c r="R120" s="1">
        <f t="shared" si="19"/>
        <v>54713</v>
      </c>
      <c r="S120" s="1">
        <f t="shared" si="20"/>
        <v>53351</v>
      </c>
      <c r="T120" s="1" t="str">
        <f t="shared" si="23"/>
        <v>G2居室間欠なし第3種ハイブリッド</v>
      </c>
      <c r="U120" s="1">
        <v>54.713000000000001</v>
      </c>
      <c r="V120" s="1">
        <f t="shared" si="21"/>
        <v>53.350999999999999</v>
      </c>
      <c r="W120" s="1">
        <v>0.46</v>
      </c>
    </row>
    <row r="121" spans="5:23" x14ac:dyDescent="0.55000000000000004">
      <c r="E121" s="1" t="s">
        <v>605</v>
      </c>
      <c r="F121" s="1" t="s">
        <v>231</v>
      </c>
      <c r="G121" s="1" t="s">
        <v>280</v>
      </c>
      <c r="H121" s="1" t="s">
        <v>195</v>
      </c>
      <c r="I121" s="1" t="s">
        <v>276</v>
      </c>
      <c r="J121" s="1">
        <v>4834</v>
      </c>
      <c r="K121" s="1">
        <v>8193</v>
      </c>
      <c r="L121" s="1">
        <v>4445</v>
      </c>
      <c r="M121" s="1">
        <v>20417</v>
      </c>
      <c r="N121" s="1">
        <v>14417</v>
      </c>
      <c r="O121" s="1">
        <v>6135</v>
      </c>
      <c r="P121" s="1">
        <f t="shared" si="22"/>
        <v>4773</v>
      </c>
      <c r="Q121" s="1">
        <v>21241</v>
      </c>
      <c r="R121" s="1">
        <f t="shared" si="19"/>
        <v>65265</v>
      </c>
      <c r="S121" s="1">
        <f t="shared" si="20"/>
        <v>57903</v>
      </c>
      <c r="T121" s="1" t="str">
        <f t="shared" si="23"/>
        <v>G2居室間欠なし熱交換標準</v>
      </c>
      <c r="U121" s="1">
        <v>65.265000000000001</v>
      </c>
      <c r="V121" s="1">
        <f t="shared" si="21"/>
        <v>57.902999999999999</v>
      </c>
      <c r="W121" s="1">
        <v>0.46</v>
      </c>
    </row>
    <row r="122" spans="5:23" x14ac:dyDescent="0.55000000000000004">
      <c r="E122" s="1" t="s">
        <v>605</v>
      </c>
      <c r="F122" s="1" t="s">
        <v>231</v>
      </c>
      <c r="G122" s="1" t="s">
        <v>280</v>
      </c>
      <c r="H122" s="1" t="s">
        <v>277</v>
      </c>
      <c r="I122" s="22" t="s">
        <v>278</v>
      </c>
      <c r="J122" s="1">
        <v>4834</v>
      </c>
      <c r="K122" s="1">
        <v>8193</v>
      </c>
      <c r="L122" s="1">
        <v>4445</v>
      </c>
      <c r="M122" s="1">
        <v>11346</v>
      </c>
      <c r="N122" s="1">
        <f>M122</f>
        <v>11346</v>
      </c>
      <c r="O122" s="1">
        <v>6135</v>
      </c>
      <c r="P122" s="1">
        <f t="shared" si="22"/>
        <v>4773</v>
      </c>
      <c r="Q122" s="1">
        <v>21241</v>
      </c>
      <c r="R122" s="1">
        <f t="shared" si="19"/>
        <v>56194</v>
      </c>
      <c r="S122" s="1">
        <f t="shared" si="20"/>
        <v>54832</v>
      </c>
      <c r="T122" s="1" t="str">
        <f t="shared" si="23"/>
        <v>G2居室間欠なし熱交換ハイブリッド</v>
      </c>
      <c r="U122" s="1">
        <v>56.194000000000003</v>
      </c>
      <c r="V122" s="1">
        <f t="shared" si="21"/>
        <v>54.832000000000001</v>
      </c>
      <c r="W122" s="1">
        <v>0.46</v>
      </c>
    </row>
    <row r="123" spans="5:23" x14ac:dyDescent="0.55000000000000004">
      <c r="E123" s="1" t="s">
        <v>605</v>
      </c>
      <c r="F123" s="1" t="s">
        <v>305</v>
      </c>
      <c r="G123" s="1" t="s">
        <v>280</v>
      </c>
      <c r="H123" s="1" t="s">
        <v>176</v>
      </c>
      <c r="I123" s="1" t="s">
        <v>276</v>
      </c>
      <c r="J123" s="1">
        <v>924</v>
      </c>
      <c r="K123" s="1">
        <v>30801</v>
      </c>
      <c r="L123" s="1">
        <v>12531</v>
      </c>
      <c r="M123" s="1">
        <v>20417</v>
      </c>
      <c r="N123" s="1">
        <v>14417</v>
      </c>
      <c r="O123" s="1">
        <v>6135</v>
      </c>
      <c r="P123" s="1">
        <f t="shared" si="22"/>
        <v>4773</v>
      </c>
      <c r="Q123" s="1">
        <v>21241</v>
      </c>
      <c r="R123" s="1">
        <f t="shared" si="19"/>
        <v>92049</v>
      </c>
      <c r="S123" s="1">
        <f t="shared" si="20"/>
        <v>84687</v>
      </c>
      <c r="T123" s="1" t="str">
        <f t="shared" si="23"/>
        <v>G2全館空調なし第3種標準</v>
      </c>
      <c r="U123" s="1">
        <v>92.049000000000007</v>
      </c>
      <c r="V123" s="1">
        <f t="shared" si="21"/>
        <v>84.686999999999998</v>
      </c>
      <c r="W123" s="1">
        <v>0.46</v>
      </c>
    </row>
    <row r="124" spans="5:23" x14ac:dyDescent="0.55000000000000004">
      <c r="E124" s="1" t="s">
        <v>605</v>
      </c>
      <c r="F124" s="1" t="s">
        <v>305</v>
      </c>
      <c r="G124" s="1" t="s">
        <v>280</v>
      </c>
      <c r="H124" s="1" t="s">
        <v>274</v>
      </c>
      <c r="I124" s="22" t="s">
        <v>278</v>
      </c>
      <c r="J124" s="1">
        <v>924</v>
      </c>
      <c r="K124" s="1">
        <v>30801</v>
      </c>
      <c r="L124" s="1">
        <v>12531</v>
      </c>
      <c r="M124" s="1">
        <v>11346</v>
      </c>
      <c r="N124" s="1">
        <f>M124</f>
        <v>11346</v>
      </c>
      <c r="O124" s="1">
        <v>6135</v>
      </c>
      <c r="P124" s="1">
        <f t="shared" si="22"/>
        <v>4773</v>
      </c>
      <c r="Q124" s="1">
        <v>21241</v>
      </c>
      <c r="R124" s="1">
        <f t="shared" si="19"/>
        <v>82978</v>
      </c>
      <c r="S124" s="1">
        <f t="shared" si="20"/>
        <v>81616</v>
      </c>
      <c r="T124" s="1" t="str">
        <f t="shared" si="23"/>
        <v>G2全館空調なし第3種ハイブリッド</v>
      </c>
      <c r="U124" s="1">
        <v>82.977999999999994</v>
      </c>
      <c r="V124" s="1">
        <f t="shared" si="21"/>
        <v>81.616</v>
      </c>
      <c r="W124" s="1">
        <v>0.46</v>
      </c>
    </row>
    <row r="125" spans="5:23" x14ac:dyDescent="0.55000000000000004">
      <c r="E125" s="1" t="s">
        <v>605</v>
      </c>
      <c r="F125" s="1" t="s">
        <v>305</v>
      </c>
      <c r="G125" s="1" t="s">
        <v>280</v>
      </c>
      <c r="H125" s="1" t="s">
        <v>195</v>
      </c>
      <c r="I125" s="1" t="s">
        <v>276</v>
      </c>
      <c r="J125" s="1">
        <v>4834</v>
      </c>
      <c r="K125" s="1">
        <v>25227</v>
      </c>
      <c r="L125" s="1">
        <v>12531</v>
      </c>
      <c r="M125" s="1">
        <v>20417</v>
      </c>
      <c r="N125" s="1">
        <v>14417</v>
      </c>
      <c r="O125" s="1">
        <v>6135</v>
      </c>
      <c r="P125" s="1">
        <f t="shared" si="22"/>
        <v>4773</v>
      </c>
      <c r="Q125" s="1">
        <v>21241</v>
      </c>
      <c r="R125" s="1">
        <f t="shared" si="19"/>
        <v>90385</v>
      </c>
      <c r="S125" s="1">
        <f t="shared" si="20"/>
        <v>83023</v>
      </c>
      <c r="T125" s="1" t="str">
        <f t="shared" si="23"/>
        <v>G2全館空調なし熱交換標準</v>
      </c>
      <c r="U125" s="1">
        <v>90.385000000000005</v>
      </c>
      <c r="V125" s="1">
        <f t="shared" si="21"/>
        <v>83.022999999999996</v>
      </c>
      <c r="W125" s="1">
        <v>0.46</v>
      </c>
    </row>
    <row r="126" spans="5:23" x14ac:dyDescent="0.55000000000000004">
      <c r="E126" s="1" t="s">
        <v>605</v>
      </c>
      <c r="F126" s="1" t="s">
        <v>305</v>
      </c>
      <c r="G126" s="1" t="s">
        <v>281</v>
      </c>
      <c r="H126" s="1" t="s">
        <v>195</v>
      </c>
      <c r="I126" s="1" t="s">
        <v>276</v>
      </c>
      <c r="J126" s="1">
        <v>4834</v>
      </c>
      <c r="K126" s="1">
        <f>K125*$D$85</f>
        <v>17658.899999999998</v>
      </c>
      <c r="L126" s="1">
        <f>L125*$D$85</f>
        <v>8771.6999999999989</v>
      </c>
      <c r="M126" s="1">
        <v>20417</v>
      </c>
      <c r="N126" s="1">
        <v>14417</v>
      </c>
      <c r="O126" s="1">
        <v>6135</v>
      </c>
      <c r="P126" s="1">
        <f t="shared" si="22"/>
        <v>4773</v>
      </c>
      <c r="Q126" s="1">
        <v>21241</v>
      </c>
      <c r="R126" s="1">
        <f t="shared" si="19"/>
        <v>79057.600000000006</v>
      </c>
      <c r="S126" s="1">
        <f t="shared" si="20"/>
        <v>71695.600000000006</v>
      </c>
      <c r="T126" s="1" t="str">
        <f t="shared" si="23"/>
        <v>G2全館空調あり熱交換標準</v>
      </c>
      <c r="U126" s="5">
        <f>R126/1000</f>
        <v>79.057600000000008</v>
      </c>
      <c r="V126" s="1">
        <f t="shared" si="21"/>
        <v>71.695599999999999</v>
      </c>
      <c r="W126" s="1">
        <v>0.46</v>
      </c>
    </row>
    <row r="127" spans="5:23" x14ac:dyDescent="0.55000000000000004">
      <c r="E127" s="1" t="s">
        <v>605</v>
      </c>
      <c r="F127" s="1" t="s">
        <v>305</v>
      </c>
      <c r="G127" s="1" t="s">
        <v>280</v>
      </c>
      <c r="H127" s="1" t="s">
        <v>277</v>
      </c>
      <c r="I127" s="22" t="s">
        <v>278</v>
      </c>
      <c r="J127" s="1">
        <v>4834</v>
      </c>
      <c r="K127" s="1">
        <v>25227</v>
      </c>
      <c r="L127" s="1">
        <v>12531</v>
      </c>
      <c r="M127" s="1">
        <v>11346</v>
      </c>
      <c r="N127" s="1">
        <f>M127</f>
        <v>11346</v>
      </c>
      <c r="O127" s="1">
        <v>6135</v>
      </c>
      <c r="P127" s="1">
        <f t="shared" si="22"/>
        <v>4773</v>
      </c>
      <c r="Q127" s="1">
        <v>21241</v>
      </c>
      <c r="R127" s="1">
        <f t="shared" si="19"/>
        <v>81314</v>
      </c>
      <c r="S127" s="1">
        <f t="shared" si="20"/>
        <v>79952</v>
      </c>
      <c r="T127" s="1" t="str">
        <f t="shared" si="23"/>
        <v>G2全館空調なし熱交換ハイブリッド</v>
      </c>
      <c r="U127" s="1">
        <v>81.313999999999993</v>
      </c>
      <c r="V127" s="1">
        <f t="shared" si="21"/>
        <v>79.951999999999998</v>
      </c>
      <c r="W127" s="1">
        <v>0.46</v>
      </c>
    </row>
    <row r="128" spans="5:23" x14ac:dyDescent="0.55000000000000004">
      <c r="E128" s="1" t="s">
        <v>605</v>
      </c>
      <c r="F128" s="1" t="s">
        <v>305</v>
      </c>
      <c r="G128" s="1" t="s">
        <v>281</v>
      </c>
      <c r="H128" s="1" t="s">
        <v>277</v>
      </c>
      <c r="I128" s="22" t="s">
        <v>278</v>
      </c>
      <c r="J128" s="1">
        <v>4834</v>
      </c>
      <c r="K128" s="1">
        <f>K127*$D$85</f>
        <v>17658.899999999998</v>
      </c>
      <c r="L128" s="1">
        <f>L127*$D$85</f>
        <v>8771.6999999999989</v>
      </c>
      <c r="M128" s="1">
        <v>11346</v>
      </c>
      <c r="N128" s="1">
        <f>M128</f>
        <v>11346</v>
      </c>
      <c r="O128" s="1">
        <v>6135</v>
      </c>
      <c r="P128" s="1">
        <f t="shared" si="22"/>
        <v>4773</v>
      </c>
      <c r="Q128" s="1">
        <v>21241</v>
      </c>
      <c r="R128" s="1">
        <f t="shared" si="19"/>
        <v>69986.600000000006</v>
      </c>
      <c r="S128" s="1">
        <f t="shared" si="20"/>
        <v>68624.600000000006</v>
      </c>
      <c r="T128" s="1" t="str">
        <f t="shared" si="23"/>
        <v>G2全館空調あり熱交換ハイブリッド</v>
      </c>
      <c r="U128" s="24">
        <f>R128/1000</f>
        <v>69.98660000000001</v>
      </c>
      <c r="V128" s="1">
        <f t="shared" si="21"/>
        <v>68.624600000000001</v>
      </c>
      <c r="W128" s="1">
        <v>0.46</v>
      </c>
    </row>
    <row r="129" spans="1:23" x14ac:dyDescent="0.55000000000000004">
      <c r="E129" s="1" t="s">
        <v>607</v>
      </c>
      <c r="F129" s="1" t="s">
        <v>231</v>
      </c>
      <c r="G129" s="1" t="s">
        <v>280</v>
      </c>
      <c r="H129" s="1" t="s">
        <v>176</v>
      </c>
      <c r="I129" s="1" t="s">
        <v>232</v>
      </c>
      <c r="J129" s="1">
        <v>924</v>
      </c>
      <c r="K129" s="1">
        <v>7858</v>
      </c>
      <c r="L129" s="1">
        <v>4247</v>
      </c>
      <c r="M129" s="1">
        <v>20417</v>
      </c>
      <c r="N129" s="1">
        <v>14417</v>
      </c>
      <c r="O129" s="1">
        <v>6135</v>
      </c>
      <c r="P129" s="1">
        <f t="shared" si="22"/>
        <v>4773</v>
      </c>
      <c r="Q129" s="1">
        <v>21241</v>
      </c>
      <c r="R129" s="1">
        <f t="shared" si="19"/>
        <v>60822</v>
      </c>
      <c r="S129" s="1">
        <f>J129+K129+L129+N129+P129+Q129</f>
        <v>53460</v>
      </c>
      <c r="T129" s="1" t="str">
        <f t="shared" si="23"/>
        <v>G3居室間欠なし第3種標準</v>
      </c>
      <c r="U129" s="24">
        <f t="shared" ref="U129:U138" si="24">R129/1000</f>
        <v>60.822000000000003</v>
      </c>
      <c r="V129" s="1">
        <f t="shared" ref="V129:V138" si="25">S129/1000</f>
        <v>53.46</v>
      </c>
      <c r="W129" s="1">
        <v>0.23</v>
      </c>
    </row>
    <row r="130" spans="1:23" x14ac:dyDescent="0.55000000000000004">
      <c r="E130" s="1" t="s">
        <v>607</v>
      </c>
      <c r="F130" s="1" t="s">
        <v>231</v>
      </c>
      <c r="G130" s="1" t="s">
        <v>280</v>
      </c>
      <c r="H130" s="1" t="s">
        <v>176</v>
      </c>
      <c r="I130" s="22" t="s">
        <v>194</v>
      </c>
      <c r="J130" s="1">
        <v>924</v>
      </c>
      <c r="K130" s="1">
        <v>7858</v>
      </c>
      <c r="L130" s="1">
        <v>4247</v>
      </c>
      <c r="M130" s="1">
        <v>11346</v>
      </c>
      <c r="N130" s="1">
        <f>M130</f>
        <v>11346</v>
      </c>
      <c r="O130" s="1">
        <v>6135</v>
      </c>
      <c r="P130" s="1">
        <f t="shared" si="22"/>
        <v>4773</v>
      </c>
      <c r="Q130" s="1">
        <v>21241</v>
      </c>
      <c r="R130" s="1">
        <f t="shared" si="19"/>
        <v>51751</v>
      </c>
      <c r="S130" s="1">
        <f t="shared" si="20"/>
        <v>50389</v>
      </c>
      <c r="T130" s="1" t="str">
        <f t="shared" si="23"/>
        <v>G3居室間欠なし第3種ハイブリッド</v>
      </c>
      <c r="U130" s="24">
        <f t="shared" si="24"/>
        <v>51.750999999999998</v>
      </c>
      <c r="V130" s="1">
        <f t="shared" si="25"/>
        <v>50.389000000000003</v>
      </c>
      <c r="W130" s="1">
        <v>0.23</v>
      </c>
    </row>
    <row r="131" spans="1:23" x14ac:dyDescent="0.55000000000000004">
      <c r="E131" s="1" t="s">
        <v>607</v>
      </c>
      <c r="F131" s="1" t="s">
        <v>231</v>
      </c>
      <c r="G131" s="1" t="s">
        <v>280</v>
      </c>
      <c r="H131" s="1" t="s">
        <v>195</v>
      </c>
      <c r="I131" s="1" t="s">
        <v>232</v>
      </c>
      <c r="J131" s="1">
        <v>4834</v>
      </c>
      <c r="K131" s="1">
        <v>5692</v>
      </c>
      <c r="L131" s="1">
        <v>4247</v>
      </c>
      <c r="M131" s="1">
        <v>20417</v>
      </c>
      <c r="N131" s="1">
        <v>14417</v>
      </c>
      <c r="O131" s="1">
        <v>6135</v>
      </c>
      <c r="P131" s="1">
        <f t="shared" si="22"/>
        <v>4773</v>
      </c>
      <c r="Q131" s="1">
        <v>21241</v>
      </c>
      <c r="R131" s="1">
        <f t="shared" si="19"/>
        <v>62566</v>
      </c>
      <c r="S131" s="1">
        <f t="shared" si="20"/>
        <v>55204</v>
      </c>
      <c r="T131" s="1" t="str">
        <f t="shared" si="23"/>
        <v>G3居室間欠なし熱交換標準</v>
      </c>
      <c r="U131" s="24">
        <f t="shared" si="24"/>
        <v>62.566000000000003</v>
      </c>
      <c r="V131" s="1">
        <f t="shared" si="25"/>
        <v>55.204000000000001</v>
      </c>
      <c r="W131" s="1">
        <v>0.23</v>
      </c>
    </row>
    <row r="132" spans="1:23" x14ac:dyDescent="0.55000000000000004">
      <c r="E132" s="1" t="s">
        <v>607</v>
      </c>
      <c r="F132" s="1" t="s">
        <v>231</v>
      </c>
      <c r="G132" s="1" t="s">
        <v>280</v>
      </c>
      <c r="H132" s="1" t="s">
        <v>195</v>
      </c>
      <c r="I132" s="22" t="s">
        <v>194</v>
      </c>
      <c r="J132" s="1">
        <v>4834</v>
      </c>
      <c r="K132" s="1">
        <v>5692</v>
      </c>
      <c r="L132" s="1">
        <v>4247</v>
      </c>
      <c r="M132" s="1">
        <v>11346</v>
      </c>
      <c r="N132" s="1">
        <f>M132</f>
        <v>11346</v>
      </c>
      <c r="O132" s="1">
        <v>6135</v>
      </c>
      <c r="P132" s="1">
        <f t="shared" si="22"/>
        <v>4773</v>
      </c>
      <c r="Q132" s="1">
        <v>21241</v>
      </c>
      <c r="R132" s="1">
        <f t="shared" si="19"/>
        <v>53495</v>
      </c>
      <c r="S132" s="1">
        <f t="shared" si="20"/>
        <v>52133</v>
      </c>
      <c r="T132" s="1" t="str">
        <f t="shared" si="23"/>
        <v>G3居室間欠なし熱交換ハイブリッド</v>
      </c>
      <c r="U132" s="24">
        <f t="shared" si="24"/>
        <v>53.494999999999997</v>
      </c>
      <c r="V132" s="1">
        <f t="shared" si="25"/>
        <v>52.133000000000003</v>
      </c>
      <c r="W132" s="1">
        <v>0.23</v>
      </c>
    </row>
    <row r="133" spans="1:23" x14ac:dyDescent="0.55000000000000004">
      <c r="E133" s="1" t="s">
        <v>607</v>
      </c>
      <c r="F133" s="1" t="s">
        <v>299</v>
      </c>
      <c r="G133" s="1" t="s">
        <v>280</v>
      </c>
      <c r="H133" s="1" t="s">
        <v>176</v>
      </c>
      <c r="I133" s="1" t="s">
        <v>232</v>
      </c>
      <c r="J133" s="1">
        <v>924</v>
      </c>
      <c r="K133" s="1">
        <v>26384</v>
      </c>
      <c r="L133" s="1">
        <v>12606</v>
      </c>
      <c r="M133" s="1">
        <v>20417</v>
      </c>
      <c r="N133" s="1">
        <v>14417</v>
      </c>
      <c r="O133" s="1">
        <v>6135</v>
      </c>
      <c r="P133" s="1">
        <f t="shared" si="22"/>
        <v>4773</v>
      </c>
      <c r="Q133" s="1">
        <v>21241</v>
      </c>
      <c r="R133" s="1">
        <f t="shared" si="19"/>
        <v>87707</v>
      </c>
      <c r="S133" s="1">
        <f t="shared" si="20"/>
        <v>80345</v>
      </c>
      <c r="T133" s="1" t="str">
        <f t="shared" si="23"/>
        <v>G3全館空調なし第3種標準</v>
      </c>
      <c r="U133" s="24">
        <f t="shared" si="24"/>
        <v>87.706999999999994</v>
      </c>
      <c r="V133" s="1">
        <f t="shared" si="25"/>
        <v>80.344999999999999</v>
      </c>
      <c r="W133" s="1">
        <v>0.23</v>
      </c>
    </row>
    <row r="134" spans="1:23" x14ac:dyDescent="0.55000000000000004">
      <c r="E134" s="1" t="s">
        <v>607</v>
      </c>
      <c r="F134" s="1" t="s">
        <v>299</v>
      </c>
      <c r="G134" s="1" t="s">
        <v>280</v>
      </c>
      <c r="H134" s="1" t="s">
        <v>176</v>
      </c>
      <c r="I134" s="22" t="s">
        <v>194</v>
      </c>
      <c r="J134" s="1">
        <v>924</v>
      </c>
      <c r="K134" s="1">
        <v>26384</v>
      </c>
      <c r="L134" s="1">
        <v>12606</v>
      </c>
      <c r="M134" s="1">
        <v>11346</v>
      </c>
      <c r="N134" s="1">
        <f>M134</f>
        <v>11346</v>
      </c>
      <c r="O134" s="1">
        <v>6135</v>
      </c>
      <c r="P134" s="1">
        <f t="shared" si="22"/>
        <v>4773</v>
      </c>
      <c r="Q134" s="1">
        <v>21241</v>
      </c>
      <c r="R134" s="1">
        <f t="shared" si="19"/>
        <v>78636</v>
      </c>
      <c r="S134" s="1">
        <f t="shared" si="20"/>
        <v>77274</v>
      </c>
      <c r="T134" s="1" t="str">
        <f t="shared" si="23"/>
        <v>G3全館空調なし第3種ハイブリッド</v>
      </c>
      <c r="U134" s="24">
        <f t="shared" si="24"/>
        <v>78.635999999999996</v>
      </c>
      <c r="V134" s="1">
        <f t="shared" si="25"/>
        <v>77.274000000000001</v>
      </c>
      <c r="W134" s="1">
        <v>0.23</v>
      </c>
    </row>
    <row r="135" spans="1:23" x14ac:dyDescent="0.55000000000000004">
      <c r="E135" s="1" t="s">
        <v>607</v>
      </c>
      <c r="F135" s="1" t="s">
        <v>299</v>
      </c>
      <c r="G135" s="1" t="s">
        <v>280</v>
      </c>
      <c r="H135" s="1" t="s">
        <v>195</v>
      </c>
      <c r="I135" s="1" t="s">
        <v>232</v>
      </c>
      <c r="J135" s="1">
        <v>4834</v>
      </c>
      <c r="K135" s="1">
        <v>18781</v>
      </c>
      <c r="L135" s="1">
        <v>12606</v>
      </c>
      <c r="M135" s="1">
        <v>20417</v>
      </c>
      <c r="N135" s="1">
        <v>14417</v>
      </c>
      <c r="O135" s="1">
        <v>6135</v>
      </c>
      <c r="P135" s="1">
        <f t="shared" si="22"/>
        <v>4773</v>
      </c>
      <c r="Q135" s="1">
        <v>21241</v>
      </c>
      <c r="R135" s="1">
        <f t="shared" si="19"/>
        <v>84014</v>
      </c>
      <c r="S135" s="1">
        <f t="shared" si="20"/>
        <v>76652</v>
      </c>
      <c r="T135" s="1" t="str">
        <f t="shared" si="23"/>
        <v>G3全館空調なし熱交換標準</v>
      </c>
      <c r="U135" s="24">
        <f t="shared" si="24"/>
        <v>84.013999999999996</v>
      </c>
      <c r="V135" s="1">
        <f t="shared" si="25"/>
        <v>76.652000000000001</v>
      </c>
      <c r="W135" s="1">
        <v>0.23</v>
      </c>
    </row>
    <row r="136" spans="1:23" x14ac:dyDescent="0.55000000000000004">
      <c r="E136" s="1" t="s">
        <v>607</v>
      </c>
      <c r="F136" s="1" t="s">
        <v>299</v>
      </c>
      <c r="G136" s="1" t="s">
        <v>281</v>
      </c>
      <c r="H136" s="1" t="s">
        <v>195</v>
      </c>
      <c r="I136" s="1" t="s">
        <v>232</v>
      </c>
      <c r="J136" s="1">
        <v>4834</v>
      </c>
      <c r="K136" s="1">
        <f>K135*D85</f>
        <v>13146.699999999999</v>
      </c>
      <c r="L136" s="1">
        <f>L135*D85</f>
        <v>8824.1999999999989</v>
      </c>
      <c r="M136" s="1">
        <v>20417</v>
      </c>
      <c r="N136" s="1">
        <v>14417</v>
      </c>
      <c r="O136" s="1">
        <v>6135</v>
      </c>
      <c r="P136" s="1">
        <f t="shared" si="22"/>
        <v>4773</v>
      </c>
      <c r="Q136" s="1">
        <v>21241</v>
      </c>
      <c r="R136" s="1">
        <f t="shared" si="19"/>
        <v>74597.899999999994</v>
      </c>
      <c r="S136" s="1">
        <f t="shared" si="20"/>
        <v>67235.899999999994</v>
      </c>
      <c r="T136" s="1" t="str">
        <f t="shared" si="23"/>
        <v>G3全館空調あり熱交換標準</v>
      </c>
      <c r="U136" s="24">
        <f t="shared" si="24"/>
        <v>74.597899999999996</v>
      </c>
      <c r="V136" s="1">
        <f t="shared" si="25"/>
        <v>67.235900000000001</v>
      </c>
      <c r="W136" s="1">
        <v>0.23</v>
      </c>
    </row>
    <row r="137" spans="1:23" x14ac:dyDescent="0.55000000000000004">
      <c r="E137" s="1" t="s">
        <v>607</v>
      </c>
      <c r="F137" s="1" t="s">
        <v>299</v>
      </c>
      <c r="G137" s="1" t="s">
        <v>280</v>
      </c>
      <c r="H137" s="1" t="s">
        <v>195</v>
      </c>
      <c r="I137" s="22" t="s">
        <v>194</v>
      </c>
      <c r="J137" s="1">
        <v>4834</v>
      </c>
      <c r="K137" s="1">
        <v>18781</v>
      </c>
      <c r="L137" s="1">
        <v>12606</v>
      </c>
      <c r="M137" s="1">
        <v>11346</v>
      </c>
      <c r="N137" s="1">
        <f>M137</f>
        <v>11346</v>
      </c>
      <c r="O137" s="1">
        <v>6135</v>
      </c>
      <c r="P137" s="1">
        <f t="shared" si="22"/>
        <v>4773</v>
      </c>
      <c r="Q137" s="1">
        <v>21241</v>
      </c>
      <c r="R137" s="1">
        <f t="shared" si="19"/>
        <v>74943</v>
      </c>
      <c r="S137" s="1">
        <f t="shared" si="20"/>
        <v>73581</v>
      </c>
      <c r="T137" s="1" t="str">
        <f t="shared" si="23"/>
        <v>G3全館空調なし熱交換ハイブリッド</v>
      </c>
      <c r="U137" s="24">
        <f t="shared" si="24"/>
        <v>74.942999999999998</v>
      </c>
      <c r="V137" s="1">
        <f t="shared" si="25"/>
        <v>73.581000000000003</v>
      </c>
      <c r="W137" s="1">
        <v>0.23</v>
      </c>
    </row>
    <row r="138" spans="1:23" x14ac:dyDescent="0.55000000000000004">
      <c r="E138" s="1" t="s">
        <v>607</v>
      </c>
      <c r="F138" s="1" t="s">
        <v>299</v>
      </c>
      <c r="G138" s="1" t="s">
        <v>281</v>
      </c>
      <c r="H138" s="1" t="s">
        <v>195</v>
      </c>
      <c r="I138" s="22" t="s">
        <v>194</v>
      </c>
      <c r="J138" s="1">
        <v>4834</v>
      </c>
      <c r="K138" s="1">
        <f>K136</f>
        <v>13146.699999999999</v>
      </c>
      <c r="L138" s="1">
        <f>L136</f>
        <v>8824.1999999999989</v>
      </c>
      <c r="M138" s="1">
        <v>11346</v>
      </c>
      <c r="N138" s="1">
        <f>M138</f>
        <v>11346</v>
      </c>
      <c r="O138" s="1">
        <v>6135</v>
      </c>
      <c r="P138" s="1">
        <f t="shared" si="22"/>
        <v>4773</v>
      </c>
      <c r="Q138" s="1">
        <v>21241</v>
      </c>
      <c r="R138" s="1">
        <f t="shared" si="19"/>
        <v>65526.899999999994</v>
      </c>
      <c r="S138" s="1">
        <f t="shared" si="20"/>
        <v>64164.899999999994</v>
      </c>
      <c r="T138" s="1" t="str">
        <f t="shared" si="23"/>
        <v>G3全館空調あり熱交換ハイブリッド</v>
      </c>
      <c r="U138" s="24">
        <f t="shared" si="24"/>
        <v>65.526899999999998</v>
      </c>
      <c r="V138" s="1">
        <f t="shared" si="25"/>
        <v>64.164899999999989</v>
      </c>
      <c r="W138" s="1">
        <v>0.23</v>
      </c>
    </row>
    <row r="140" spans="1:23" x14ac:dyDescent="0.55000000000000004">
      <c r="A140" s="4" t="s">
        <v>283</v>
      </c>
    </row>
    <row r="141" spans="1:23" x14ac:dyDescent="0.55000000000000004">
      <c r="C141" s="1" t="s">
        <v>282</v>
      </c>
      <c r="D141" s="1" t="s">
        <v>284</v>
      </c>
      <c r="E141" s="22" t="s">
        <v>286</v>
      </c>
      <c r="F141" s="1" t="s">
        <v>291</v>
      </c>
      <c r="G141" s="1" t="s">
        <v>294</v>
      </c>
      <c r="H141" s="1" t="s">
        <v>310</v>
      </c>
      <c r="I141" s="1" t="s">
        <v>331</v>
      </c>
      <c r="K141" s="1" t="s">
        <v>364</v>
      </c>
      <c r="L141" s="1" t="s">
        <v>415</v>
      </c>
      <c r="M141" s="1" t="s">
        <v>572</v>
      </c>
    </row>
    <row r="142" spans="1:23" x14ac:dyDescent="0.55000000000000004">
      <c r="C142" s="1" t="s">
        <v>601</v>
      </c>
      <c r="D142" s="1" t="s">
        <v>285</v>
      </c>
      <c r="E142" s="1" t="s">
        <v>288</v>
      </c>
      <c r="F142" s="1" t="s">
        <v>292</v>
      </c>
      <c r="G142" s="1" t="s">
        <v>295</v>
      </c>
      <c r="H142" s="1">
        <v>1</v>
      </c>
      <c r="I142" s="1" t="s">
        <v>332</v>
      </c>
      <c r="K142" s="1" t="s">
        <v>365</v>
      </c>
      <c r="L142" s="1" t="s">
        <v>416</v>
      </c>
      <c r="M142" s="1" t="s">
        <v>571</v>
      </c>
    </row>
    <row r="143" spans="1:23" x14ac:dyDescent="0.55000000000000004">
      <c r="C143" s="1" t="s">
        <v>603</v>
      </c>
      <c r="D143" s="1" t="s">
        <v>299</v>
      </c>
      <c r="E143" s="1" t="s">
        <v>290</v>
      </c>
      <c r="F143" s="1" t="s">
        <v>293</v>
      </c>
      <c r="G143" s="22" t="s">
        <v>297</v>
      </c>
      <c r="H143" s="1">
        <v>2</v>
      </c>
      <c r="I143" s="1" t="s">
        <v>333</v>
      </c>
      <c r="K143" s="1" t="s">
        <v>366</v>
      </c>
      <c r="L143" s="1" t="s">
        <v>417</v>
      </c>
    </row>
    <row r="144" spans="1:23" x14ac:dyDescent="0.55000000000000004">
      <c r="C144" s="1" t="s">
        <v>604</v>
      </c>
      <c r="H144" s="1">
        <v>3</v>
      </c>
    </row>
    <row r="145" spans="1:9" x14ac:dyDescent="0.55000000000000004">
      <c r="C145" s="1" t="s">
        <v>605</v>
      </c>
      <c r="H145" s="1">
        <v>4</v>
      </c>
    </row>
    <row r="146" spans="1:9" x14ac:dyDescent="0.55000000000000004">
      <c r="C146" s="1" t="s">
        <v>607</v>
      </c>
      <c r="H146" s="1">
        <v>5</v>
      </c>
    </row>
    <row r="147" spans="1:9" x14ac:dyDescent="0.55000000000000004">
      <c r="H147" s="1">
        <v>6</v>
      </c>
    </row>
    <row r="149" spans="1:9" x14ac:dyDescent="0.55000000000000004">
      <c r="A149" s="4" t="s">
        <v>300</v>
      </c>
      <c r="I149" s="1" t="s">
        <v>303</v>
      </c>
    </row>
    <row r="150" spans="1:9" x14ac:dyDescent="0.55000000000000004">
      <c r="A150" s="4"/>
      <c r="B150" s="4" t="s">
        <v>573</v>
      </c>
    </row>
    <row r="151" spans="1:9" x14ac:dyDescent="0.55000000000000004">
      <c r="A151" s="4"/>
      <c r="B151" s="4" t="s">
        <v>307</v>
      </c>
    </row>
    <row r="152" spans="1:9" x14ac:dyDescent="0.55000000000000004">
      <c r="B152" s="1" t="s">
        <v>301</v>
      </c>
      <c r="C152" s="7" t="str">
        <f>戸建ての計算!E39</f>
        <v>ZEH</v>
      </c>
      <c r="D152" s="7" t="str">
        <f>戸建ての計算!E40</f>
        <v>居室間欠</v>
      </c>
      <c r="E152" s="7" t="str">
        <f>戸建ての計算!E42</f>
        <v>なし</v>
      </c>
      <c r="F152" s="7" t="str">
        <f>戸建ての計算!E41</f>
        <v>第3種</v>
      </c>
      <c r="G152" s="7" t="str">
        <f>戸建ての計算!E43</f>
        <v>標準</v>
      </c>
      <c r="I152" s="1" t="str">
        <f>C152&amp;D152&amp;E152&amp;F152&amp;G152</f>
        <v>ZEH居室間欠なし第3種標準</v>
      </c>
    </row>
    <row r="153" spans="1:9" x14ac:dyDescent="0.55000000000000004">
      <c r="B153" s="1" t="s">
        <v>302</v>
      </c>
      <c r="C153" s="29">
        <f>IF(戸建ての計算!$B$93="後で計算する",VLOOKUP(I152,$T$89:$U$138,2,FALSE),VLOOKUP(I152,$T$89:$V$138,3,FALSE))</f>
        <v>65.632999999999996</v>
      </c>
      <c r="D153" s="1" t="s">
        <v>304</v>
      </c>
      <c r="E153" s="29">
        <f>ROUND(C153,1)</f>
        <v>65.599999999999994</v>
      </c>
      <c r="F153" s="1" t="s">
        <v>304</v>
      </c>
    </row>
    <row r="154" spans="1:9" x14ac:dyDescent="0.55000000000000004">
      <c r="B154" s="4" t="s">
        <v>308</v>
      </c>
    </row>
    <row r="155" spans="1:9" x14ac:dyDescent="0.55000000000000004">
      <c r="B155" s="1" t="s">
        <v>301</v>
      </c>
      <c r="C155" s="7" t="str">
        <f>戸建ての計算!F39</f>
        <v>G1</v>
      </c>
      <c r="D155" s="7" t="str">
        <f>戸建ての計算!F40</f>
        <v>居室間欠</v>
      </c>
      <c r="E155" s="7" t="str">
        <f>戸建ての計算!F42</f>
        <v>なし</v>
      </c>
      <c r="F155" s="7" t="str">
        <f>戸建ての計算!F41</f>
        <v>第3種</v>
      </c>
      <c r="G155" s="7" t="str">
        <f>戸建ての計算!F43</f>
        <v>標準</v>
      </c>
      <c r="I155" s="1" t="str">
        <f>C155&amp;D155&amp;E155&amp;F155&amp;G155</f>
        <v>G1居室間欠なし第3種標準</v>
      </c>
    </row>
    <row r="156" spans="1:9" x14ac:dyDescent="0.55000000000000004">
      <c r="B156" s="1" t="s">
        <v>302</v>
      </c>
      <c r="C156" s="29">
        <f>IF(戸建ての計算!$B$93="後で計算する",VLOOKUP(I155,$T$89:$U$138,2,FALSE),VLOOKUP(I155,$T$89:$V$138,3,FALSE))</f>
        <v>65.331999999999994</v>
      </c>
      <c r="D156" s="1" t="s">
        <v>304</v>
      </c>
      <c r="E156" s="29">
        <f>ROUND(C156,1)</f>
        <v>65.3</v>
      </c>
      <c r="F156" s="1" t="s">
        <v>304</v>
      </c>
    </row>
    <row r="157" spans="1:9" x14ac:dyDescent="0.55000000000000004">
      <c r="B157" s="4" t="s">
        <v>309</v>
      </c>
    </row>
    <row r="158" spans="1:9" x14ac:dyDescent="0.55000000000000004">
      <c r="B158" s="1" t="s">
        <v>301</v>
      </c>
      <c r="C158" s="7" t="str">
        <f>戸建ての計算!G39</f>
        <v>G3</v>
      </c>
      <c r="D158" s="7" t="str">
        <f>戸建ての計算!G40</f>
        <v>全館空調</v>
      </c>
      <c r="E158" s="7" t="str">
        <f>戸建ての計算!G42</f>
        <v>なし</v>
      </c>
      <c r="F158" s="7" t="str">
        <f>戸建ての計算!G41</f>
        <v>第3種</v>
      </c>
      <c r="G158" s="7" t="str">
        <f>戸建ての計算!G43</f>
        <v>標準</v>
      </c>
      <c r="I158" s="1" t="str">
        <f>C158&amp;D158&amp;E158&amp;F158&amp;G158</f>
        <v>G3全館空調なし第3種標準</v>
      </c>
    </row>
    <row r="159" spans="1:9" x14ac:dyDescent="0.55000000000000004">
      <c r="B159" s="1" t="s">
        <v>302</v>
      </c>
      <c r="C159" s="29">
        <f>IF(戸建ての計算!$B$93="後で計算する",VLOOKUP(I158,$T$89:$U$138,2,FALSE),VLOOKUP(I158,$T$89:$V$138,3,FALSE))</f>
        <v>87.706999999999994</v>
      </c>
      <c r="D159" s="1" t="s">
        <v>304</v>
      </c>
      <c r="E159" s="29">
        <f>ROUND(C159,1)</f>
        <v>87.7</v>
      </c>
      <c r="F159" s="1" t="s">
        <v>304</v>
      </c>
    </row>
    <row r="161" spans="1:17" x14ac:dyDescent="0.55000000000000004">
      <c r="A161" s="4" t="s">
        <v>503</v>
      </c>
    </row>
    <row r="162" spans="1:17" x14ac:dyDescent="0.55000000000000004">
      <c r="B162" s="1" t="s">
        <v>504</v>
      </c>
      <c r="C162" s="1" t="s">
        <v>493</v>
      </c>
      <c r="E162" s="1">
        <v>136.05882352941177</v>
      </c>
    </row>
    <row r="163" spans="1:17" x14ac:dyDescent="0.55000000000000004">
      <c r="B163" s="1" t="s">
        <v>505</v>
      </c>
      <c r="C163" s="1" t="s">
        <v>511</v>
      </c>
      <c r="E163" s="1">
        <v>194.82352941176472</v>
      </c>
    </row>
    <row r="164" spans="1:17" x14ac:dyDescent="0.55000000000000004">
      <c r="C164" s="1" t="s">
        <v>512</v>
      </c>
      <c r="E164" s="1">
        <v>194.09483719780562</v>
      </c>
    </row>
    <row r="166" spans="1:17" x14ac:dyDescent="0.55000000000000004">
      <c r="A166" s="4" t="s">
        <v>514</v>
      </c>
    </row>
    <row r="167" spans="1:17" x14ac:dyDescent="0.55000000000000004">
      <c r="F167" s="1" t="s">
        <v>41</v>
      </c>
      <c r="G167" s="1" t="s">
        <v>27</v>
      </c>
      <c r="H167" s="1" t="s">
        <v>28</v>
      </c>
      <c r="I167" s="1" t="s">
        <v>29</v>
      </c>
      <c r="J167" s="1" t="s">
        <v>30</v>
      </c>
      <c r="K167" s="1" t="s">
        <v>39</v>
      </c>
      <c r="L167" s="1" t="s">
        <v>31</v>
      </c>
      <c r="M167" s="1" t="s">
        <v>32</v>
      </c>
      <c r="N167" s="1" t="s">
        <v>33</v>
      </c>
      <c r="O167" s="1" t="s">
        <v>43</v>
      </c>
      <c r="P167" s="1" t="s">
        <v>34</v>
      </c>
    </row>
    <row r="168" spans="1:17" x14ac:dyDescent="0.55000000000000004">
      <c r="F168" s="1">
        <f>F30</f>
        <v>134.4</v>
      </c>
      <c r="G168" s="1">
        <f t="shared" ref="G168:P168" si="26">G30</f>
        <v>93.1</v>
      </c>
      <c r="H168" s="1">
        <f t="shared" si="26"/>
        <v>90</v>
      </c>
      <c r="I168" s="1">
        <f t="shared" si="26"/>
        <v>80.7</v>
      </c>
      <c r="J168" s="1">
        <f t="shared" si="26"/>
        <v>80.7</v>
      </c>
      <c r="K168" s="1">
        <f t="shared" si="26"/>
        <v>74.8</v>
      </c>
      <c r="L168" s="1">
        <f t="shared" si="26"/>
        <v>71.8</v>
      </c>
      <c r="M168" s="1">
        <f t="shared" si="26"/>
        <v>68.8</v>
      </c>
      <c r="N168" s="1">
        <f t="shared" si="26"/>
        <v>65.8</v>
      </c>
      <c r="O168" s="1">
        <f t="shared" si="26"/>
        <v>0</v>
      </c>
      <c r="P168" s="1">
        <f t="shared" si="26"/>
        <v>59.9</v>
      </c>
    </row>
    <row r="169" spans="1:17" x14ac:dyDescent="0.55000000000000004">
      <c r="E169" s="1" t="s">
        <v>504</v>
      </c>
      <c r="F169" s="1">
        <v>911.9860155190463</v>
      </c>
      <c r="G169" s="1">
        <v>1031</v>
      </c>
      <c r="H169" s="1">
        <v>492.16358098446318</v>
      </c>
      <c r="I169" s="1">
        <v>86</v>
      </c>
      <c r="J169" s="1">
        <v>168.74667952133996</v>
      </c>
      <c r="K169" s="1">
        <v>36.126431264464955</v>
      </c>
      <c r="L169" s="1">
        <v>143.31636457587965</v>
      </c>
      <c r="M169" s="1">
        <v>29.811387709246674</v>
      </c>
      <c r="N169" s="1">
        <v>7.8060282293437417</v>
      </c>
      <c r="P169" s="1">
        <v>21.102335725627455</v>
      </c>
      <c r="Q169" s="1">
        <f>SUM(F169:P169)</f>
        <v>2928.0588235294122</v>
      </c>
    </row>
    <row r="170" spans="1:17" x14ac:dyDescent="0.55000000000000004">
      <c r="E170" s="1" t="s">
        <v>685</v>
      </c>
      <c r="F170" s="1">
        <f>F168*F169</f>
        <v>122570.92048575982</v>
      </c>
      <c r="G170" s="1">
        <f t="shared" ref="G170:P170" si="27">G168*G169</f>
        <v>95986.099999999991</v>
      </c>
      <c r="H170" s="1">
        <f t="shared" si="27"/>
        <v>44294.72228860169</v>
      </c>
      <c r="I170" s="1">
        <f t="shared" si="27"/>
        <v>6940.2</v>
      </c>
      <c r="J170" s="1">
        <f t="shared" si="27"/>
        <v>13617.857037372134</v>
      </c>
      <c r="K170" s="1">
        <f t="shared" si="27"/>
        <v>2702.2570585819785</v>
      </c>
      <c r="L170" s="1">
        <f t="shared" si="27"/>
        <v>10290.114976548159</v>
      </c>
      <c r="M170" s="1">
        <f t="shared" si="27"/>
        <v>2051.023474396171</v>
      </c>
      <c r="N170" s="1">
        <f t="shared" si="27"/>
        <v>513.63665749081815</v>
      </c>
      <c r="O170" s="1">
        <f t="shared" si="27"/>
        <v>0</v>
      </c>
      <c r="P170" s="1">
        <f t="shared" si="27"/>
        <v>1264.0299099650845</v>
      </c>
      <c r="Q170" s="1">
        <f>SUM(F170:P170)</f>
        <v>300230.86188871582</v>
      </c>
    </row>
    <row r="171" spans="1:17" x14ac:dyDescent="0.55000000000000004">
      <c r="F171" s="1">
        <f t="shared" ref="F171:P171" si="28">F31</f>
        <v>82</v>
      </c>
      <c r="G171" s="1">
        <f t="shared" si="28"/>
        <v>75.400000000000006</v>
      </c>
      <c r="H171" s="1">
        <f t="shared" si="28"/>
        <v>68.8</v>
      </c>
      <c r="I171" s="1">
        <f t="shared" si="28"/>
        <v>62.8</v>
      </c>
      <c r="J171" s="1">
        <f t="shared" si="28"/>
        <v>62.8</v>
      </c>
      <c r="K171" s="1">
        <f t="shared" si="28"/>
        <v>58.2</v>
      </c>
      <c r="L171" s="1">
        <f t="shared" si="28"/>
        <v>55.9</v>
      </c>
      <c r="M171" s="1">
        <f t="shared" si="28"/>
        <v>53.5</v>
      </c>
      <c r="N171" s="1">
        <f t="shared" si="28"/>
        <v>51.2</v>
      </c>
      <c r="O171" s="1">
        <f t="shared" si="28"/>
        <v>48.9</v>
      </c>
      <c r="P171" s="1">
        <f t="shared" si="28"/>
        <v>0</v>
      </c>
    </row>
    <row r="172" spans="1:17" x14ac:dyDescent="0.55000000000000004">
      <c r="E172" s="1" t="s">
        <v>505</v>
      </c>
      <c r="F172" s="1">
        <v>401.07647058823534</v>
      </c>
      <c r="G172" s="1">
        <v>870.48800000000006</v>
      </c>
      <c r="H172" s="1">
        <v>517.65858389669631</v>
      </c>
      <c r="I172" s="1">
        <v>95</v>
      </c>
      <c r="J172" s="1">
        <v>103.45464112181776</v>
      </c>
      <c r="K172" s="1">
        <v>24.952413081764803</v>
      </c>
      <c r="L172" s="1">
        <v>85.664758273443312</v>
      </c>
      <c r="M172" s="1">
        <v>142.86236512521114</v>
      </c>
      <c r="N172" s="1">
        <v>48.446582598609638</v>
      </c>
      <c r="O172" s="1">
        <v>48.391022512027398</v>
      </c>
      <c r="P172" s="1">
        <v>0</v>
      </c>
      <c r="Q172" s="1">
        <f>SUM(F172:P172)</f>
        <v>2337.9948371978053</v>
      </c>
    </row>
    <row r="173" spans="1:17" x14ac:dyDescent="0.55000000000000004">
      <c r="E173" s="1" t="s">
        <v>685</v>
      </c>
      <c r="F173" s="1">
        <f t="shared" ref="F173:P173" si="29">F172*F171</f>
        <v>32888.270588235297</v>
      </c>
      <c r="G173" s="1">
        <f t="shared" si="29"/>
        <v>65634.795200000008</v>
      </c>
      <c r="H173" s="1">
        <f t="shared" si="29"/>
        <v>35614.910572092704</v>
      </c>
      <c r="I173" s="1">
        <f t="shared" si="29"/>
        <v>5966</v>
      </c>
      <c r="J173" s="1">
        <f t="shared" si="29"/>
        <v>6496.9514624501553</v>
      </c>
      <c r="K173" s="1">
        <f t="shared" si="29"/>
        <v>1452.2304413587117</v>
      </c>
      <c r="L173" s="1">
        <f t="shared" si="29"/>
        <v>4788.659987485481</v>
      </c>
      <c r="M173" s="1">
        <f t="shared" si="29"/>
        <v>7643.1365341987957</v>
      </c>
      <c r="N173" s="1">
        <f t="shared" si="29"/>
        <v>2480.4650290488134</v>
      </c>
      <c r="O173" s="1">
        <f t="shared" si="29"/>
        <v>2366.3210008381398</v>
      </c>
      <c r="P173" s="1">
        <f t="shared" si="29"/>
        <v>0</v>
      </c>
      <c r="Q173" s="1">
        <f>SUM(F173:P173)</f>
        <v>165331.74081570809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解説等</vt:lpstr>
      <vt:lpstr>補足解説</vt:lpstr>
      <vt:lpstr>戸建ての計算</vt:lpstr>
      <vt:lpstr>想定別一次エネ消費量</vt:lpstr>
      <vt:lpstr>共同住宅の計算</vt:lpstr>
      <vt:lpstr>太陽光発電の計算</vt:lpstr>
      <vt:lpstr>総合結果表示（省エネ量）</vt:lpstr>
      <vt:lpstr>2050年カーボンニュートラル検討</vt:lpstr>
      <vt:lpstr>SIM用基本データ</vt:lpstr>
      <vt:lpstr>2021年ストックモデル</vt:lpstr>
      <vt:lpstr>基本データ</vt:lpstr>
      <vt:lpstr>解説のためのメモ</vt:lpstr>
      <vt:lpstr>戸あたり一次エネ分析</vt:lpstr>
      <vt:lpstr>2013年実績の確認</vt:lpstr>
      <vt:lpstr>'総合結果表示（省エネ量）'!Print_Area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野池政宏</dc:creator>
  <cp:lastModifiedBy>野池政宏</cp:lastModifiedBy>
  <cp:lastPrinted>2021-10-21T03:03:52Z</cp:lastPrinted>
  <dcterms:created xsi:type="dcterms:W3CDTF">2021-08-31T02:03:24Z</dcterms:created>
  <dcterms:modified xsi:type="dcterms:W3CDTF">2022-01-07T00:27:13Z</dcterms:modified>
</cp:coreProperties>
</file>